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"/>
    </mc:Choice>
  </mc:AlternateContent>
  <bookViews>
    <workbookView xWindow="-135" yWindow="4125" windowWidth="28830" windowHeight="8310" tabRatio="921"/>
  </bookViews>
  <sheets>
    <sheet name="титул" sheetId="7" r:id="rId1"/>
    <sheet name="1, 2 раздел" sheetId="1" state="hidden" r:id="rId2"/>
    <sheet name="р.3 2019" sheetId="12" r:id="rId3"/>
    <sheet name="р.3 2020(1)" sheetId="35" r:id="rId4"/>
    <sheet name="р.3 2021(1)" sheetId="36" r:id="rId5"/>
    <sheet name="р.3 2021" sheetId="11" state="hidden" r:id="rId6"/>
    <sheet name="р.3.1" sheetId="3" r:id="rId7"/>
    <sheet name="р. 4, 5" sheetId="4" state="hidden" r:id="rId8"/>
    <sheet name="расч. 211(2000)2018" sheetId="5" state="hidden" r:id="rId9"/>
    <sheet name="рас.212-1104,212-1152(2108)2018" sheetId="13" state="hidden" r:id="rId10"/>
    <sheet name="1.3,1.4 ст.213(00,02,35,36)2018" sheetId="21" state="hidden" r:id="rId11"/>
    <sheet name="1.5. 212-1101(2101),212-1124(18" sheetId="15" state="hidden" r:id="rId12"/>
    <sheet name="1.6.расч.290-1150(2108)2018" sheetId="17" state="hidden" r:id="rId13"/>
    <sheet name="290,221,222,223,225,226(2018)" sheetId="14" state="hidden" r:id="rId14"/>
    <sheet name="расч. 211(2000,2002)19" sheetId="19" state="hidden" r:id="rId15"/>
    <sheet name="расч. 211(2000,2002)20" sheetId="32" state="hidden" r:id="rId16"/>
    <sheet name="212-1104,212-1152(2108) 19-20" sheetId="33" state="hidden" r:id="rId17"/>
    <sheet name="1.3,1.4 ст.213(2000)19,20" sheetId="6" state="hidden" r:id="rId18"/>
    <sheet name="1.6.расч.290-1150(2108)19,20 (2" sheetId="34" state="hidden" r:id="rId19"/>
    <sheet name="290,221,222,223,225,226(19,20)" sheetId="24" state="hidden" r:id="rId20"/>
    <sheet name="(внебюджет остатки)" sheetId="10" state="hidden" r:id="rId21"/>
    <sheet name="наим ДопКР" sheetId="9" state="hidden" r:id="rId22"/>
    <sheet name="Лист1" sheetId="31" state="hidden" r:id="rId23"/>
  </sheets>
  <definedNames>
    <definedName name="_xlnm._FilterDatabase" localSheetId="20" hidden="1">'(внебюджет остатки)'!$A$8:$J$95</definedName>
    <definedName name="_xlnm._FilterDatabase" localSheetId="19" hidden="1">'290,221,222,223,225,226(19,20)'!$A$16:$I$22</definedName>
    <definedName name="_xlnm._FilterDatabase" localSheetId="2" hidden="1">'р.3 2019'!$A$9:$AB$150</definedName>
    <definedName name="_xlnm._FilterDatabase" localSheetId="3" hidden="1">'р.3 2020(1)'!$A$9:$AB$150</definedName>
    <definedName name="_xlnm._FilterDatabase" localSheetId="5" hidden="1">'р.3 2021'!$A$9:$Z$144</definedName>
    <definedName name="_xlnm._FilterDatabase" localSheetId="4" hidden="1">'р.3 2021(1)'!$A$9:$AB$150</definedName>
    <definedName name="_xlnm._FilterDatabase" localSheetId="8" hidden="1">'расч. 211(2000)2018'!$A$38:$L$47</definedName>
    <definedName name="_xlnm.Print_Titles" localSheetId="20">'(внебюджет остатки)'!$A:$C,'(внебюджет остатки)'!$6:$8</definedName>
    <definedName name="_xlnm.Print_Titles" localSheetId="18">'1.6.расч.290-1150(2108)19,20 (2'!$4:$5</definedName>
    <definedName name="_xlnm.Print_Titles" localSheetId="12">'1.6.расч.290-1150(2108)2018'!$4:$5</definedName>
    <definedName name="_xlnm.Print_Titles" localSheetId="16">'212-1104,212-1152(2108) 19-20'!$6:$7</definedName>
    <definedName name="_xlnm.Print_Titles" localSheetId="2">'р.3 2019'!$A:$C,'р.3 2019'!$5:$9</definedName>
    <definedName name="_xlnm.Print_Titles" localSheetId="3">'р.3 2020(1)'!$A:$C,'р.3 2020(1)'!$5:$9</definedName>
    <definedName name="_xlnm.Print_Titles" localSheetId="5">'р.3 2021'!$A:$C,'р.3 2021'!$5:$9</definedName>
    <definedName name="_xlnm.Print_Titles" localSheetId="4">'р.3 2021(1)'!$A:$C,'р.3 2021(1)'!$5:$9</definedName>
    <definedName name="_xlnm.Print_Titles" localSheetId="9">'рас.212-1104,212-1152(2108)2018'!$6:$7</definedName>
    <definedName name="_xlnm.Print_Area" localSheetId="20">'(внебюджет остатки)'!$A$1:$J$97</definedName>
    <definedName name="_xlnm.Print_Area" localSheetId="10">'1.3,1.4 ст.213(00,02,35,36)2018'!$A$10:$F$70</definedName>
    <definedName name="_xlnm.Print_Area" localSheetId="17">'1.3,1.4 ст.213(2000)19,20'!$A$10:$H$48</definedName>
    <definedName name="_xlnm.Print_Area" localSheetId="11">'1.5. 212-1101(2101),212-1124(18'!$A$1:$G$28</definedName>
    <definedName name="_xlnm.Print_Area" localSheetId="18">'1.6.расч.290-1150(2108)19,20 (2'!$A$1:$I$18</definedName>
    <definedName name="_xlnm.Print_Area" localSheetId="12">'1.6.расч.290-1150(2108)2018'!$A$1:$J$52</definedName>
    <definedName name="_xlnm.Print_Area" localSheetId="16">'212-1104,212-1152(2108) 19-20'!$A$1:$K$52</definedName>
    <definedName name="_xlnm.Print_Area" localSheetId="19">'290,221,222,223,225,226(19,20)'!$A$1:$G$206</definedName>
    <definedName name="_xlnm.Print_Area" localSheetId="13">'290,221,222,223,225,226(2018)'!$A$1:$F$338</definedName>
    <definedName name="_xlnm.Print_Area" localSheetId="7">'р. 4, 5'!$A$1:$D$42</definedName>
    <definedName name="_xlnm.Print_Area" localSheetId="2">'р.3 2019'!$A$1:$AB$151</definedName>
    <definedName name="_xlnm.Print_Area" localSheetId="3">'р.3 2020(1)'!$A$1:$AB$151</definedName>
    <definedName name="_xlnm.Print_Area" localSheetId="5">'р.3 2021'!$A$1:$Z$146</definedName>
    <definedName name="_xlnm.Print_Area" localSheetId="4">'р.3 2021(1)'!$A$1:$AB$151</definedName>
    <definedName name="_xlnm.Print_Area" localSheetId="6">р.3.1!$A$1:$L$16</definedName>
    <definedName name="_xlnm.Print_Area" localSheetId="9">'рас.212-1104,212-1152(2108)2018'!$A$1:$J$52</definedName>
    <definedName name="_xlnm.Print_Area" localSheetId="8">'расч. 211(2000)2018'!$A$1:$J$61</definedName>
    <definedName name="_xlnm.Print_Area" localSheetId="14">'расч. 211(2000,2002)19'!$A$1:$J$33</definedName>
    <definedName name="_xlnm.Print_Area" localSheetId="15">'расч. 211(2000,2002)20'!$A$1:$J$33</definedName>
  </definedNames>
  <calcPr calcId="162913"/>
</workbook>
</file>

<file path=xl/calcChain.xml><?xml version="1.0" encoding="utf-8"?>
<calcChain xmlns="http://schemas.openxmlformats.org/spreadsheetml/2006/main">
  <c r="H19" i="36" l="1"/>
  <c r="H72" i="36"/>
  <c r="H153" i="36" s="1"/>
  <c r="H59" i="36"/>
  <c r="T32" i="36"/>
  <c r="T72" i="36"/>
  <c r="T59" i="36"/>
  <c r="L59" i="36" s="1"/>
  <c r="R71" i="36"/>
  <c r="V149" i="36"/>
  <c r="L149" i="36"/>
  <c r="V148" i="36"/>
  <c r="L148" i="36"/>
  <c r="V147" i="36"/>
  <c r="L147" i="36"/>
  <c r="V145" i="36"/>
  <c r="L145" i="36"/>
  <c r="V144" i="36"/>
  <c r="L144" i="36"/>
  <c r="V143" i="36"/>
  <c r="L143" i="36"/>
  <c r="V141" i="36"/>
  <c r="L141" i="36"/>
  <c r="V139" i="36"/>
  <c r="L139" i="36"/>
  <c r="V138" i="36"/>
  <c r="L138" i="36"/>
  <c r="V137" i="36"/>
  <c r="L137" i="36"/>
  <c r="V136" i="36"/>
  <c r="L136" i="36"/>
  <c r="V135" i="36"/>
  <c r="L135" i="36"/>
  <c r="V134" i="36"/>
  <c r="L134" i="36"/>
  <c r="V133" i="36"/>
  <c r="L133" i="36"/>
  <c r="V132" i="36"/>
  <c r="L132" i="36"/>
  <c r="V131" i="36"/>
  <c r="L131" i="36"/>
  <c r="V130" i="36"/>
  <c r="L130" i="36"/>
  <c r="V129" i="36"/>
  <c r="L129" i="36"/>
  <c r="V128" i="36"/>
  <c r="L128" i="36"/>
  <c r="V127" i="36"/>
  <c r="L127" i="36"/>
  <c r="V126" i="36"/>
  <c r="L126" i="36"/>
  <c r="V125" i="36"/>
  <c r="L125" i="36"/>
  <c r="V124" i="36"/>
  <c r="L124" i="36"/>
  <c r="V123" i="36"/>
  <c r="L123" i="36"/>
  <c r="K123" i="36"/>
  <c r="H123" i="36"/>
  <c r="V122" i="36"/>
  <c r="L122" i="36"/>
  <c r="V121" i="36"/>
  <c r="L121" i="36"/>
  <c r="V120" i="36"/>
  <c r="L120" i="36"/>
  <c r="V119" i="36"/>
  <c r="L119" i="36"/>
  <c r="J119" i="36"/>
  <c r="V118" i="36"/>
  <c r="L118" i="36"/>
  <c r="V117" i="36"/>
  <c r="L117" i="36"/>
  <c r="V116" i="36"/>
  <c r="L116" i="36"/>
  <c r="V115" i="36"/>
  <c r="O115" i="36"/>
  <c r="L115" i="36"/>
  <c r="V114" i="36"/>
  <c r="L114" i="36"/>
  <c r="V113" i="36"/>
  <c r="L113" i="36"/>
  <c r="V112" i="36"/>
  <c r="L112" i="36"/>
  <c r="V111" i="36"/>
  <c r="L111" i="36"/>
  <c r="V110" i="36"/>
  <c r="L110" i="36"/>
  <c r="V109" i="36"/>
  <c r="L109" i="36"/>
  <c r="V108" i="36"/>
  <c r="L108" i="36"/>
  <c r="V107" i="36"/>
  <c r="L107" i="36"/>
  <c r="V106" i="36"/>
  <c r="L106" i="36"/>
  <c r="V105" i="36"/>
  <c r="L105" i="36"/>
  <c r="V104" i="36"/>
  <c r="L104" i="36"/>
  <c r="V103" i="36"/>
  <c r="L103" i="36"/>
  <c r="U101" i="36"/>
  <c r="T101" i="36"/>
  <c r="S101" i="36"/>
  <c r="R101" i="36"/>
  <c r="Q101" i="36"/>
  <c r="P101" i="36"/>
  <c r="O101" i="36"/>
  <c r="N101" i="36"/>
  <c r="M101" i="36"/>
  <c r="L101" i="36" s="1"/>
  <c r="K101" i="36"/>
  <c r="K99" i="36" s="1"/>
  <c r="J101" i="36"/>
  <c r="I101" i="36"/>
  <c r="I99" i="36" s="1"/>
  <c r="H101" i="36"/>
  <c r="H99" i="36" s="1"/>
  <c r="G101" i="36"/>
  <c r="G99" i="36" s="1"/>
  <c r="F101" i="36"/>
  <c r="U99" i="36"/>
  <c r="T99" i="36"/>
  <c r="S99" i="36"/>
  <c r="R99" i="36"/>
  <c r="Q99" i="36"/>
  <c r="P99" i="36"/>
  <c r="O99" i="36"/>
  <c r="N99" i="36"/>
  <c r="M99" i="36"/>
  <c r="L99" i="36" s="1"/>
  <c r="J99" i="36"/>
  <c r="F99" i="36"/>
  <c r="V97" i="36"/>
  <c r="L97" i="36"/>
  <c r="V95" i="36"/>
  <c r="V93" i="36"/>
  <c r="L93" i="36"/>
  <c r="L92" i="36"/>
  <c r="V91" i="36"/>
  <c r="L91" i="36"/>
  <c r="V90" i="36"/>
  <c r="L90" i="36"/>
  <c r="U88" i="36"/>
  <c r="T88" i="36"/>
  <c r="T83" i="36" s="1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V87" i="36"/>
  <c r="L87" i="36"/>
  <c r="U85" i="36"/>
  <c r="S85" i="36"/>
  <c r="R85" i="36"/>
  <c r="R83" i="36" s="1"/>
  <c r="Q85" i="36"/>
  <c r="P85" i="36"/>
  <c r="P83" i="36" s="1"/>
  <c r="O85" i="36"/>
  <c r="N85" i="36"/>
  <c r="N83" i="36" s="1"/>
  <c r="M85" i="36"/>
  <c r="L85" i="36"/>
  <c r="K85" i="36"/>
  <c r="J85" i="36"/>
  <c r="J83" i="36" s="1"/>
  <c r="I85" i="36"/>
  <c r="H85" i="36"/>
  <c r="H83" i="36" s="1"/>
  <c r="G85" i="36"/>
  <c r="F85" i="36"/>
  <c r="F83" i="36" s="1"/>
  <c r="U83" i="36"/>
  <c r="S83" i="36"/>
  <c r="Q83" i="36"/>
  <c r="O83" i="36"/>
  <c r="M83" i="36"/>
  <c r="K83" i="36"/>
  <c r="I83" i="36"/>
  <c r="G83" i="36"/>
  <c r="V82" i="36"/>
  <c r="L82" i="36"/>
  <c r="V81" i="36"/>
  <c r="L81" i="36"/>
  <c r="V80" i="36"/>
  <c r="L80" i="36"/>
  <c r="V79" i="36"/>
  <c r="L79" i="36"/>
  <c r="V78" i="36"/>
  <c r="L78" i="36"/>
  <c r="V77" i="36"/>
  <c r="L77" i="36"/>
  <c r="U75" i="36"/>
  <c r="T75" i="36"/>
  <c r="T73" i="36" s="1"/>
  <c r="S75" i="36"/>
  <c r="S73" i="36" s="1"/>
  <c r="R75" i="36"/>
  <c r="R73" i="36" s="1"/>
  <c r="Q75" i="36"/>
  <c r="P75" i="36"/>
  <c r="P73" i="36" s="1"/>
  <c r="O75" i="36"/>
  <c r="O73" i="36" s="1"/>
  <c r="N75" i="36"/>
  <c r="N73" i="36" s="1"/>
  <c r="M75" i="36"/>
  <c r="L75" i="36" s="1"/>
  <c r="K75" i="36"/>
  <c r="J75" i="36"/>
  <c r="J73" i="36" s="1"/>
  <c r="I75" i="36"/>
  <c r="H75" i="36"/>
  <c r="H73" i="36" s="1"/>
  <c r="G75" i="36"/>
  <c r="F75" i="36"/>
  <c r="F73" i="36" s="1"/>
  <c r="U73" i="36"/>
  <c r="Q73" i="36"/>
  <c r="K73" i="36"/>
  <c r="I73" i="36"/>
  <c r="G73" i="36"/>
  <c r="V72" i="36"/>
  <c r="L72" i="36"/>
  <c r="V71" i="36"/>
  <c r="L71" i="36"/>
  <c r="V70" i="36"/>
  <c r="L70" i="36"/>
  <c r="R69" i="36"/>
  <c r="L69" i="36"/>
  <c r="V68" i="36"/>
  <c r="L68" i="36"/>
  <c r="L67" i="36"/>
  <c r="V66" i="36"/>
  <c r="L66" i="36"/>
  <c r="V65" i="36"/>
  <c r="L65" i="36"/>
  <c r="V64" i="36"/>
  <c r="L64" i="36"/>
  <c r="V63" i="36"/>
  <c r="L63" i="36"/>
  <c r="V62" i="36"/>
  <c r="L62" i="36"/>
  <c r="V61" i="36"/>
  <c r="L61" i="36"/>
  <c r="V59" i="36"/>
  <c r="R32" i="35"/>
  <c r="K19" i="35"/>
  <c r="H19" i="35"/>
  <c r="R71" i="35"/>
  <c r="K123" i="35"/>
  <c r="AD99" i="36"/>
  <c r="L83" i="36" l="1"/>
  <c r="M73" i="36"/>
  <c r="L73" i="36" s="1"/>
  <c r="K19" i="36"/>
  <c r="AD59" i="36"/>
  <c r="E149" i="36"/>
  <c r="D149" i="36" s="1"/>
  <c r="E148" i="36"/>
  <c r="D148" i="36" s="1"/>
  <c r="E147" i="36"/>
  <c r="D147" i="36" s="1"/>
  <c r="E145" i="36"/>
  <c r="D145" i="36" s="1"/>
  <c r="E144" i="36"/>
  <c r="D144" i="36" s="1"/>
  <c r="E143" i="36"/>
  <c r="D143" i="36" s="1"/>
  <c r="E141" i="36"/>
  <c r="D141" i="36" s="1"/>
  <c r="E139" i="36"/>
  <c r="D139" i="36" s="1"/>
  <c r="E138" i="36"/>
  <c r="D138" i="36" s="1"/>
  <c r="E137" i="36"/>
  <c r="D137" i="36" s="1"/>
  <c r="E136" i="36"/>
  <c r="D136" i="36" s="1"/>
  <c r="E135" i="36"/>
  <c r="D135" i="36" s="1"/>
  <c r="E134" i="36"/>
  <c r="D134" i="36" s="1"/>
  <c r="E133" i="36"/>
  <c r="D133" i="36" s="1"/>
  <c r="E132" i="36"/>
  <c r="D132" i="36" s="1"/>
  <c r="E131" i="36"/>
  <c r="D131" i="36" s="1"/>
  <c r="E130" i="36"/>
  <c r="D130" i="36" s="1"/>
  <c r="E129" i="36"/>
  <c r="D129" i="36" s="1"/>
  <c r="E128" i="36"/>
  <c r="D128" i="36" s="1"/>
  <c r="E127" i="36"/>
  <c r="D127" i="36" s="1"/>
  <c r="E126" i="36"/>
  <c r="D126" i="36" s="1"/>
  <c r="E125" i="36"/>
  <c r="D125" i="36" s="1"/>
  <c r="E124" i="36"/>
  <c r="D124" i="36" s="1"/>
  <c r="E123" i="36"/>
  <c r="D123" i="36" s="1"/>
  <c r="E122" i="36"/>
  <c r="D122" i="36" s="1"/>
  <c r="E121" i="36"/>
  <c r="D121" i="36" s="1"/>
  <c r="E120" i="36"/>
  <c r="D120" i="36" s="1"/>
  <c r="E119" i="36"/>
  <c r="D119" i="36" s="1"/>
  <c r="E118" i="36"/>
  <c r="D118" i="36"/>
  <c r="E117" i="36"/>
  <c r="D117" i="36"/>
  <c r="E116" i="36"/>
  <c r="D116" i="36" s="1"/>
  <c r="E115" i="36"/>
  <c r="E114" i="36"/>
  <c r="D114" i="36" s="1"/>
  <c r="E113" i="36"/>
  <c r="D113" i="36" s="1"/>
  <c r="E112" i="36"/>
  <c r="D112" i="36" s="1"/>
  <c r="E111" i="36"/>
  <c r="D111" i="36" s="1"/>
  <c r="E110" i="36"/>
  <c r="D110" i="36" s="1"/>
  <c r="E109" i="36"/>
  <c r="D109" i="36" s="1"/>
  <c r="E108" i="36"/>
  <c r="D108" i="36" s="1"/>
  <c r="E107" i="36"/>
  <c r="D107" i="36" s="1"/>
  <c r="E106" i="36"/>
  <c r="D106" i="36" s="1"/>
  <c r="E105" i="36"/>
  <c r="D105" i="36" s="1"/>
  <c r="E104" i="36"/>
  <c r="D104" i="36" s="1"/>
  <c r="E103" i="36"/>
  <c r="D103" i="36" s="1"/>
  <c r="AB101" i="36"/>
  <c r="AA101" i="36"/>
  <c r="Z101" i="36"/>
  <c r="Y101" i="36"/>
  <c r="X101" i="36"/>
  <c r="W101" i="36"/>
  <c r="V101" i="36" s="1"/>
  <c r="D100" i="36"/>
  <c r="AB99" i="36"/>
  <c r="AA99" i="36"/>
  <c r="Z99" i="36"/>
  <c r="Y99" i="36"/>
  <c r="X99" i="36"/>
  <c r="W99" i="36"/>
  <c r="V99" i="36" s="1"/>
  <c r="E97" i="36"/>
  <c r="D97" i="36" s="1"/>
  <c r="D95" i="36"/>
  <c r="E93" i="36"/>
  <c r="D93" i="36"/>
  <c r="AB92" i="36"/>
  <c r="V92" i="36" s="1"/>
  <c r="E92" i="36"/>
  <c r="D92" i="36" s="1"/>
  <c r="E91" i="36"/>
  <c r="D91" i="36" s="1"/>
  <c r="E90" i="36"/>
  <c r="D90" i="36" s="1"/>
  <c r="AB88" i="36"/>
  <c r="AA88" i="36"/>
  <c r="Z88" i="36"/>
  <c r="Y88" i="36"/>
  <c r="X88" i="36"/>
  <c r="W88" i="36"/>
  <c r="E88" i="36"/>
  <c r="E87" i="36"/>
  <c r="D87" i="36" s="1"/>
  <c r="AB85" i="36"/>
  <c r="AA85" i="36"/>
  <c r="Z85" i="36"/>
  <c r="Y85" i="36"/>
  <c r="X85" i="36"/>
  <c r="W85" i="36"/>
  <c r="V85" i="36" s="1"/>
  <c r="AA83" i="36"/>
  <c r="Y83" i="36"/>
  <c r="W83" i="36"/>
  <c r="E82" i="36"/>
  <c r="D82" i="36" s="1"/>
  <c r="E81" i="36"/>
  <c r="D81" i="36" s="1"/>
  <c r="E80" i="36"/>
  <c r="D80" i="36" s="1"/>
  <c r="E79" i="36"/>
  <c r="E78" i="36"/>
  <c r="D78" i="36" s="1"/>
  <c r="E77" i="36"/>
  <c r="D77" i="36" s="1"/>
  <c r="AB75" i="36"/>
  <c r="AB73" i="36" s="1"/>
  <c r="AA75" i="36"/>
  <c r="Z75" i="36"/>
  <c r="Z73" i="36" s="1"/>
  <c r="Y75" i="36"/>
  <c r="X75" i="36"/>
  <c r="X73" i="36" s="1"/>
  <c r="W75" i="36"/>
  <c r="E75" i="36"/>
  <c r="AA73" i="36"/>
  <c r="Y73" i="36"/>
  <c r="W73" i="36"/>
  <c r="E72" i="36"/>
  <c r="E71" i="36"/>
  <c r="D71" i="36" s="1"/>
  <c r="E70" i="36"/>
  <c r="D70" i="36" s="1"/>
  <c r="E69" i="36"/>
  <c r="D69" i="36" s="1"/>
  <c r="E68" i="36"/>
  <c r="D68" i="36" s="1"/>
  <c r="E67" i="36"/>
  <c r="D67" i="36" s="1"/>
  <c r="E66" i="36"/>
  <c r="D66" i="36" s="1"/>
  <c r="E65" i="36"/>
  <c r="D65" i="36" s="1"/>
  <c r="E64" i="36"/>
  <c r="D64" i="36" s="1"/>
  <c r="E63" i="36"/>
  <c r="D63" i="36" s="1"/>
  <c r="E62" i="36"/>
  <c r="D62" i="36" s="1"/>
  <c r="E61" i="36"/>
  <c r="D61" i="36" s="1"/>
  <c r="E60" i="36"/>
  <c r="D60" i="36" s="1"/>
  <c r="E59" i="36"/>
  <c r="AB57" i="36"/>
  <c r="AB55" i="36" s="1"/>
  <c r="AA57" i="36"/>
  <c r="Z57" i="36"/>
  <c r="Z55" i="36" s="1"/>
  <c r="Y57" i="36"/>
  <c r="X57" i="36"/>
  <c r="X55" i="36" s="1"/>
  <c r="W57" i="36"/>
  <c r="V57" i="36"/>
  <c r="U57" i="36"/>
  <c r="T57" i="36"/>
  <c r="T55" i="36" s="1"/>
  <c r="T53" i="36" s="1"/>
  <c r="S57" i="36"/>
  <c r="R57" i="36"/>
  <c r="R55" i="36" s="1"/>
  <c r="R53" i="36" s="1"/>
  <c r="Q57" i="36"/>
  <c r="P57" i="36"/>
  <c r="P55" i="36" s="1"/>
  <c r="P53" i="36" s="1"/>
  <c r="O57" i="36"/>
  <c r="N57" i="36"/>
  <c r="N55" i="36" s="1"/>
  <c r="N53" i="36" s="1"/>
  <c r="M57" i="36"/>
  <c r="K57" i="36"/>
  <c r="J57" i="36"/>
  <c r="J55" i="36" s="1"/>
  <c r="J53" i="36" s="1"/>
  <c r="I57" i="36"/>
  <c r="H57" i="36"/>
  <c r="H55" i="36" s="1"/>
  <c r="H53" i="36" s="1"/>
  <c r="G57" i="36"/>
  <c r="F57" i="36"/>
  <c r="AA55" i="36"/>
  <c r="AA53" i="36" s="1"/>
  <c r="Y55" i="36"/>
  <c r="Y53" i="36" s="1"/>
  <c r="W55" i="36"/>
  <c r="U55" i="36"/>
  <c r="U53" i="36" s="1"/>
  <c r="S55" i="36"/>
  <c r="S53" i="36" s="1"/>
  <c r="Q55" i="36"/>
  <c r="Q53" i="36" s="1"/>
  <c r="O55" i="36"/>
  <c r="O53" i="36" s="1"/>
  <c r="M55" i="36"/>
  <c r="K55" i="36"/>
  <c r="K53" i="36" s="1"/>
  <c r="I55" i="36"/>
  <c r="I53" i="36" s="1"/>
  <c r="G55" i="36"/>
  <c r="G53" i="36" s="1"/>
  <c r="V51" i="36"/>
  <c r="D51" i="36" s="1"/>
  <c r="V49" i="36"/>
  <c r="D49" i="36" s="1"/>
  <c r="V48" i="36"/>
  <c r="D48" i="36" s="1"/>
  <c r="V47" i="36"/>
  <c r="D47" i="36" s="1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 s="1"/>
  <c r="V36" i="36"/>
  <c r="D36" i="36" s="1"/>
  <c r="AA34" i="36"/>
  <c r="V34" i="36" s="1"/>
  <c r="D34" i="36" s="1"/>
  <c r="L33" i="36"/>
  <c r="D33" i="36" s="1"/>
  <c r="O32" i="36"/>
  <c r="L32" i="36"/>
  <c r="D32" i="36" s="1"/>
  <c r="T30" i="36"/>
  <c r="S30" i="36"/>
  <c r="R30" i="36"/>
  <c r="Q30" i="36"/>
  <c r="Q10" i="36" s="1"/>
  <c r="Q150" i="36" s="1"/>
  <c r="P30" i="36"/>
  <c r="O30" i="36"/>
  <c r="O10" i="36" s="1"/>
  <c r="O150" i="36" s="1"/>
  <c r="N30" i="36"/>
  <c r="M30" i="36"/>
  <c r="L30" i="36" s="1"/>
  <c r="D30" i="36" s="1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 s="1"/>
  <c r="V20" i="36"/>
  <c r="D20" i="36" s="1"/>
  <c r="AB17" i="36"/>
  <c r="AA17" i="36"/>
  <c r="AA10" i="36" s="1"/>
  <c r="AA150" i="36" s="1"/>
  <c r="Y17" i="36"/>
  <c r="X17" i="36"/>
  <c r="X10" i="36" s="1"/>
  <c r="W17" i="36"/>
  <c r="V17" i="36" s="1"/>
  <c r="J17" i="36"/>
  <c r="I17" i="36"/>
  <c r="H17" i="36"/>
  <c r="H10" i="36" s="1"/>
  <c r="F17" i="36"/>
  <c r="V15" i="36"/>
  <c r="D15" i="36" s="1"/>
  <c r="V14" i="36"/>
  <c r="D14" i="36" s="1"/>
  <c r="V12" i="36"/>
  <c r="D12" i="36" s="1"/>
  <c r="AB10" i="36"/>
  <c r="Z10" i="36"/>
  <c r="Y10" i="36"/>
  <c r="T10" i="36"/>
  <c r="S10" i="36"/>
  <c r="R10" i="36"/>
  <c r="R150" i="36" s="1"/>
  <c r="P10" i="36"/>
  <c r="P150" i="36" s="1"/>
  <c r="N10" i="36"/>
  <c r="N150" i="36" s="1"/>
  <c r="J10" i="36"/>
  <c r="I10" i="36"/>
  <c r="G10" i="36"/>
  <c r="F10" i="36"/>
  <c r="AD10" i="35"/>
  <c r="V149" i="35"/>
  <c r="L149" i="35"/>
  <c r="V148" i="35"/>
  <c r="L148" i="35"/>
  <c r="E148" i="35"/>
  <c r="D148" i="35" s="1"/>
  <c r="V147" i="35"/>
  <c r="L147" i="35"/>
  <c r="E147" i="35"/>
  <c r="D147" i="35" s="1"/>
  <c r="V145" i="35"/>
  <c r="L145" i="35"/>
  <c r="E145" i="35"/>
  <c r="D145" i="35" s="1"/>
  <c r="V144" i="35"/>
  <c r="L144" i="35"/>
  <c r="E144" i="35"/>
  <c r="D144" i="35" s="1"/>
  <c r="V143" i="35"/>
  <c r="L143" i="35"/>
  <c r="E143" i="35"/>
  <c r="D143" i="35" s="1"/>
  <c r="V141" i="35"/>
  <c r="L141" i="35"/>
  <c r="E141" i="35"/>
  <c r="D141" i="35" s="1"/>
  <c r="V139" i="35"/>
  <c r="L139" i="35"/>
  <c r="E139" i="35"/>
  <c r="D139" i="35" s="1"/>
  <c r="V138" i="35"/>
  <c r="L138" i="35"/>
  <c r="E138" i="35"/>
  <c r="D138" i="35" s="1"/>
  <c r="V137" i="35"/>
  <c r="L137" i="35"/>
  <c r="E137" i="35"/>
  <c r="D137" i="35" s="1"/>
  <c r="V136" i="35"/>
  <c r="L136" i="35"/>
  <c r="E136" i="35"/>
  <c r="D136" i="35" s="1"/>
  <c r="V135" i="35"/>
  <c r="L135" i="35"/>
  <c r="E135" i="35"/>
  <c r="D135" i="35" s="1"/>
  <c r="V134" i="35"/>
  <c r="L134" i="35"/>
  <c r="E134" i="35"/>
  <c r="D134" i="35" s="1"/>
  <c r="V133" i="35"/>
  <c r="L133" i="35"/>
  <c r="E133" i="35"/>
  <c r="D133" i="35" s="1"/>
  <c r="V132" i="35"/>
  <c r="L132" i="35"/>
  <c r="E132" i="35"/>
  <c r="D132" i="35" s="1"/>
  <c r="V131" i="35"/>
  <c r="L131" i="35"/>
  <c r="E131" i="35"/>
  <c r="D131" i="35" s="1"/>
  <c r="V130" i="35"/>
  <c r="L130" i="35"/>
  <c r="E130" i="35"/>
  <c r="D130" i="35" s="1"/>
  <c r="V129" i="35"/>
  <c r="L129" i="35"/>
  <c r="E129" i="35"/>
  <c r="D129" i="35" s="1"/>
  <c r="V128" i="35"/>
  <c r="L128" i="35"/>
  <c r="E128" i="35"/>
  <c r="D128" i="35" s="1"/>
  <c r="V127" i="35"/>
  <c r="L127" i="35"/>
  <c r="E127" i="35"/>
  <c r="D127" i="35" s="1"/>
  <c r="V126" i="35"/>
  <c r="L126" i="35"/>
  <c r="E126" i="35"/>
  <c r="D126" i="35" s="1"/>
  <c r="V125" i="35"/>
  <c r="L125" i="35"/>
  <c r="E125" i="35"/>
  <c r="D125" i="35" s="1"/>
  <c r="V124" i="35"/>
  <c r="L124" i="35"/>
  <c r="E124" i="35"/>
  <c r="D124" i="35" s="1"/>
  <c r="V123" i="35"/>
  <c r="L123" i="35"/>
  <c r="H123" i="35"/>
  <c r="E123" i="35" s="1"/>
  <c r="D123" i="35" s="1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V117" i="35"/>
  <c r="L117" i="35"/>
  <c r="E117" i="35"/>
  <c r="D117" i="35" s="1"/>
  <c r="V116" i="35"/>
  <c r="L116" i="35"/>
  <c r="E116" i="35"/>
  <c r="V115" i="35"/>
  <c r="O115" i="35"/>
  <c r="L115" i="35"/>
  <c r="E115" i="35"/>
  <c r="D115" i="35"/>
  <c r="V114" i="35"/>
  <c r="L114" i="35"/>
  <c r="E114" i="35"/>
  <c r="D114" i="35"/>
  <c r="V113" i="35"/>
  <c r="L113" i="35"/>
  <c r="E113" i="35"/>
  <c r="D113" i="35"/>
  <c r="V112" i="35"/>
  <c r="L112" i="35"/>
  <c r="E112" i="35"/>
  <c r="D112" i="35"/>
  <c r="V111" i="35"/>
  <c r="L111" i="35"/>
  <c r="E111" i="35"/>
  <c r="D111" i="35"/>
  <c r="V110" i="35"/>
  <c r="L110" i="35"/>
  <c r="E110" i="35"/>
  <c r="D110" i="35"/>
  <c r="V109" i="35"/>
  <c r="L109" i="35"/>
  <c r="E109" i="35"/>
  <c r="D109" i="35"/>
  <c r="V108" i="35"/>
  <c r="L108" i="35"/>
  <c r="E108" i="35"/>
  <c r="D108" i="35"/>
  <c r="V107" i="35"/>
  <c r="L107" i="35"/>
  <c r="E107" i="35"/>
  <c r="D107" i="35"/>
  <c r="V106" i="35"/>
  <c r="L106" i="35"/>
  <c r="E106" i="35"/>
  <c r="D106" i="35"/>
  <c r="V105" i="35"/>
  <c r="L105" i="35"/>
  <c r="E105" i="35"/>
  <c r="D105" i="35"/>
  <c r="V104" i="35"/>
  <c r="L104" i="35"/>
  <c r="E104" i="35"/>
  <c r="D104" i="35"/>
  <c r="V103" i="35"/>
  <c r="L103" i="35"/>
  <c r="E103" i="35"/>
  <c r="D103" i="35"/>
  <c r="AB101" i="35"/>
  <c r="AA101" i="35"/>
  <c r="Z101" i="35"/>
  <c r="Y101" i="35"/>
  <c r="X101" i="35"/>
  <c r="W101" i="35"/>
  <c r="V101" i="35" s="1"/>
  <c r="U101" i="35"/>
  <c r="T101" i="35"/>
  <c r="S101" i="35"/>
  <c r="R101" i="35"/>
  <c r="Q101" i="35"/>
  <c r="P101" i="35"/>
  <c r="O101" i="35"/>
  <c r="N101" i="35"/>
  <c r="M101" i="35"/>
  <c r="K101" i="35"/>
  <c r="J101" i="35"/>
  <c r="I101" i="35"/>
  <c r="H101" i="35"/>
  <c r="G101" i="35"/>
  <c r="F101" i="35"/>
  <c r="D100" i="35"/>
  <c r="AB99" i="35"/>
  <c r="AA99" i="35"/>
  <c r="Z99" i="35"/>
  <c r="Y99" i="35"/>
  <c r="X99" i="35"/>
  <c r="W99" i="35"/>
  <c r="V99" i="35" s="1"/>
  <c r="U99" i="35"/>
  <c r="T99" i="35"/>
  <c r="K14" i="3" s="1"/>
  <c r="S99" i="35"/>
  <c r="R99" i="35"/>
  <c r="Q99" i="35"/>
  <c r="P99" i="35"/>
  <c r="O99" i="35"/>
  <c r="N99" i="35"/>
  <c r="M99" i="35"/>
  <c r="K99" i="35"/>
  <c r="J99" i="35"/>
  <c r="I99" i="35"/>
  <c r="H99" i="35"/>
  <c r="G99" i="35"/>
  <c r="V97" i="35"/>
  <c r="L97" i="35"/>
  <c r="E97" i="35"/>
  <c r="V95" i="35"/>
  <c r="D95" i="35" s="1"/>
  <c r="V93" i="35"/>
  <c r="L93" i="35"/>
  <c r="E93" i="35"/>
  <c r="AB92" i="35"/>
  <c r="V92" i="35" s="1"/>
  <c r="L92" i="35"/>
  <c r="E92" i="35"/>
  <c r="V91" i="35"/>
  <c r="L91" i="35"/>
  <c r="E91" i="35"/>
  <c r="D91" i="35"/>
  <c r="V90" i="35"/>
  <c r="L90" i="35"/>
  <c r="E90" i="35"/>
  <c r="D90" i="35"/>
  <c r="AA88" i="35"/>
  <c r="Z88" i="35"/>
  <c r="Z83" i="35" s="1"/>
  <c r="Y88" i="35"/>
  <c r="X88" i="35"/>
  <c r="W88" i="35"/>
  <c r="U88" i="35"/>
  <c r="T88" i="35"/>
  <c r="S88" i="35"/>
  <c r="R88" i="35"/>
  <c r="Q88" i="35"/>
  <c r="P88" i="35"/>
  <c r="O88" i="35"/>
  <c r="N88" i="35"/>
  <c r="M88" i="35"/>
  <c r="L88" i="35" s="1"/>
  <c r="K88" i="35"/>
  <c r="J88" i="35"/>
  <c r="J83" i="35" s="1"/>
  <c r="I88" i="35"/>
  <c r="H88" i="35"/>
  <c r="G88" i="35"/>
  <c r="F88" i="35"/>
  <c r="E88" i="35" s="1"/>
  <c r="V87" i="35"/>
  <c r="L87" i="35"/>
  <c r="E87" i="35"/>
  <c r="D87" i="35" s="1"/>
  <c r="AB85" i="35"/>
  <c r="AA85" i="35"/>
  <c r="Z85" i="35"/>
  <c r="Y85" i="35"/>
  <c r="X85" i="35"/>
  <c r="W85" i="35"/>
  <c r="V85" i="35" s="1"/>
  <c r="U85" i="35"/>
  <c r="S85" i="35"/>
  <c r="R85" i="35"/>
  <c r="Q85" i="35"/>
  <c r="P85" i="35"/>
  <c r="P83" i="35" s="1"/>
  <c r="O85" i="35"/>
  <c r="N85" i="35"/>
  <c r="M85" i="35"/>
  <c r="K85" i="35"/>
  <c r="K83" i="35" s="1"/>
  <c r="J85" i="35"/>
  <c r="I85" i="35"/>
  <c r="I83" i="35" s="1"/>
  <c r="H85" i="35"/>
  <c r="G85" i="35"/>
  <c r="G83" i="35" s="1"/>
  <c r="F85" i="35"/>
  <c r="E85" i="35"/>
  <c r="X83" i="35"/>
  <c r="T83" i="35"/>
  <c r="R83" i="35"/>
  <c r="N83" i="35"/>
  <c r="H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A75" i="35"/>
  <c r="AA73" i="35" s="1"/>
  <c r="Z75" i="35"/>
  <c r="Z73" i="35" s="1"/>
  <c r="Y75" i="35"/>
  <c r="Y73" i="35" s="1"/>
  <c r="X75" i="35"/>
  <c r="W75" i="35"/>
  <c r="U75" i="35"/>
  <c r="U73" i="35" s="1"/>
  <c r="T75" i="35"/>
  <c r="S75" i="35"/>
  <c r="S73" i="35" s="1"/>
  <c r="R75" i="35"/>
  <c r="Q75" i="35"/>
  <c r="Q73" i="35" s="1"/>
  <c r="P75" i="35"/>
  <c r="O75" i="35"/>
  <c r="O73" i="35" s="1"/>
  <c r="N75" i="35"/>
  <c r="M75" i="35"/>
  <c r="L75" i="35" s="1"/>
  <c r="K75" i="35"/>
  <c r="K73" i="35" s="1"/>
  <c r="J75" i="35"/>
  <c r="J73" i="35" s="1"/>
  <c r="I75" i="35"/>
  <c r="I73" i="35" s="1"/>
  <c r="H75" i="35"/>
  <c r="G75" i="35"/>
  <c r="G73" i="35" s="1"/>
  <c r="F75" i="35"/>
  <c r="E75" i="35" s="1"/>
  <c r="AB73" i="35"/>
  <c r="X73" i="35"/>
  <c r="T73" i="35"/>
  <c r="R73" i="35"/>
  <c r="P73" i="35"/>
  <c r="N73" i="35"/>
  <c r="H73" i="35"/>
  <c r="H53" i="35" s="1"/>
  <c r="V72" i="35"/>
  <c r="L72" i="35"/>
  <c r="E72" i="35"/>
  <c r="D72" i="35" s="1"/>
  <c r="V71" i="35"/>
  <c r="L71" i="35"/>
  <c r="E71" i="35"/>
  <c r="V70" i="35"/>
  <c r="L70" i="35"/>
  <c r="E70" i="35"/>
  <c r="D70" i="35" s="1"/>
  <c r="R69" i="35"/>
  <c r="E69" i="35"/>
  <c r="V68" i="35"/>
  <c r="L68" i="35"/>
  <c r="E68" i="35"/>
  <c r="L67" i="35"/>
  <c r="E67" i="35"/>
  <c r="D67" i="35"/>
  <c r="V66" i="35"/>
  <c r="L66" i="35"/>
  <c r="E66" i="35"/>
  <c r="D66" i="35"/>
  <c r="V65" i="35"/>
  <c r="L65" i="35"/>
  <c r="E65" i="35"/>
  <c r="D65" i="35"/>
  <c r="V64" i="35"/>
  <c r="L64" i="35"/>
  <c r="E64" i="35"/>
  <c r="D64" i="35"/>
  <c r="V63" i="35"/>
  <c r="L63" i="35"/>
  <c r="E63" i="35"/>
  <c r="D63" i="35"/>
  <c r="V62" i="35"/>
  <c r="L62" i="35"/>
  <c r="E62" i="35"/>
  <c r="D62" i="35"/>
  <c r="V61" i="35"/>
  <c r="L61" i="35"/>
  <c r="E61" i="35"/>
  <c r="D61" i="35"/>
  <c r="E60" i="35"/>
  <c r="D60" i="35"/>
  <c r="V59" i="35"/>
  <c r="L59" i="35"/>
  <c r="E59" i="35"/>
  <c r="AB57" i="35"/>
  <c r="AA57" i="35"/>
  <c r="AA55" i="35" s="1"/>
  <c r="Z57" i="35"/>
  <c r="Z55" i="35" s="1"/>
  <c r="Z53" i="35" s="1"/>
  <c r="Y57" i="35"/>
  <c r="Y55" i="35" s="1"/>
  <c r="X57" i="35"/>
  <c r="X55" i="35" s="1"/>
  <c r="X53" i="35" s="1"/>
  <c r="W57" i="35"/>
  <c r="U57" i="35"/>
  <c r="U55" i="35" s="1"/>
  <c r="T57" i="35"/>
  <c r="S57" i="35"/>
  <c r="S55" i="35" s="1"/>
  <c r="Q57" i="35"/>
  <c r="Q55" i="35" s="1"/>
  <c r="P57" i="35"/>
  <c r="P55" i="35" s="1"/>
  <c r="P53" i="35" s="1"/>
  <c r="O57" i="35"/>
  <c r="O55" i="35" s="1"/>
  <c r="N57" i="35"/>
  <c r="N55" i="35" s="1"/>
  <c r="N53" i="35" s="1"/>
  <c r="M57" i="35"/>
  <c r="K57" i="35"/>
  <c r="K55" i="35" s="1"/>
  <c r="K53" i="35" s="1"/>
  <c r="J57" i="35"/>
  <c r="I57" i="35"/>
  <c r="I55" i="35" s="1"/>
  <c r="H57" i="35"/>
  <c r="G57" i="35"/>
  <c r="G55" i="35" s="1"/>
  <c r="G53" i="35" s="1"/>
  <c r="F57" i="35"/>
  <c r="AB55" i="35"/>
  <c r="T55" i="35"/>
  <c r="J55" i="35"/>
  <c r="J53" i="35" s="1"/>
  <c r="H55" i="35"/>
  <c r="T53" i="35"/>
  <c r="I53" i="35"/>
  <c r="V51" i="35"/>
  <c r="D51" i="35" s="1"/>
  <c r="V49" i="35"/>
  <c r="D49" i="35" s="1"/>
  <c r="V48" i="35"/>
  <c r="D48" i="35" s="1"/>
  <c r="V47" i="35"/>
  <c r="D47" i="35" s="1"/>
  <c r="V46" i="35"/>
  <c r="D46" i="35" s="1"/>
  <c r="V45" i="35"/>
  <c r="D45" i="35" s="1"/>
  <c r="V43" i="35"/>
  <c r="D43" i="35" s="1"/>
  <c r="V41" i="35"/>
  <c r="D41" i="35" s="1"/>
  <c r="D40" i="35"/>
  <c r="D39" i="35"/>
  <c r="D38" i="35"/>
  <c r="V37" i="35"/>
  <c r="D37" i="35" s="1"/>
  <c r="V36" i="35"/>
  <c r="D36" i="35" s="1"/>
  <c r="AA34" i="35"/>
  <c r="V34" i="35" s="1"/>
  <c r="D34" i="35" s="1"/>
  <c r="L33" i="35"/>
  <c r="D33" i="35" s="1"/>
  <c r="T32" i="35"/>
  <c r="O32" i="35"/>
  <c r="T30" i="35"/>
  <c r="S30" i="35"/>
  <c r="R30" i="35"/>
  <c r="Q30" i="35"/>
  <c r="P30" i="35"/>
  <c r="N30" i="35"/>
  <c r="M30" i="35"/>
  <c r="V28" i="35"/>
  <c r="D28" i="35" s="1"/>
  <c r="V26" i="35"/>
  <c r="D26" i="35" s="1"/>
  <c r="V24" i="35"/>
  <c r="D24" i="35" s="1"/>
  <c r="V23" i="35"/>
  <c r="D23" i="35" s="1"/>
  <c r="V22" i="35"/>
  <c r="D22" i="35" s="1"/>
  <c r="V21" i="35"/>
  <c r="D21" i="35" s="1"/>
  <c r="V20" i="35"/>
  <c r="D20" i="35" s="1"/>
  <c r="E19" i="35"/>
  <c r="D19" i="35" s="1"/>
  <c r="AB17" i="35"/>
  <c r="AB10" i="35" s="1"/>
  <c r="AA17" i="35"/>
  <c r="Y17" i="35"/>
  <c r="X17" i="35"/>
  <c r="W17" i="35"/>
  <c r="V17" i="35" s="1"/>
  <c r="K17" i="35"/>
  <c r="K10" i="35" s="1"/>
  <c r="J17" i="35"/>
  <c r="I17" i="35"/>
  <c r="I10" i="35" s="1"/>
  <c r="I150" i="35" s="1"/>
  <c r="H17" i="35"/>
  <c r="H10" i="35" s="1"/>
  <c r="H150" i="35" s="1"/>
  <c r="F17" i="35"/>
  <c r="V15" i="35"/>
  <c r="D15" i="35" s="1"/>
  <c r="V14" i="35"/>
  <c r="D14" i="35" s="1"/>
  <c r="V12" i="35"/>
  <c r="D12" i="35" s="1"/>
  <c r="AA10" i="35"/>
  <c r="Z10" i="35"/>
  <c r="Y10" i="35"/>
  <c r="X10" i="35"/>
  <c r="W10" i="35"/>
  <c r="V10" i="35" s="1"/>
  <c r="T10" i="35"/>
  <c r="T150" i="35" s="1"/>
  <c r="S10" i="35"/>
  <c r="R10" i="35"/>
  <c r="Q10" i="35"/>
  <c r="P10" i="35"/>
  <c r="N10" i="35"/>
  <c r="N150" i="35" s="1"/>
  <c r="M10" i="35"/>
  <c r="J10" i="35"/>
  <c r="J150" i="35" s="1"/>
  <c r="G10" i="35"/>
  <c r="F10" i="35"/>
  <c r="P150" i="35" l="1"/>
  <c r="G150" i="35"/>
  <c r="L32" i="35"/>
  <c r="D32" i="35" s="1"/>
  <c r="O30" i="35"/>
  <c r="O10" i="35" s="1"/>
  <c r="E57" i="35"/>
  <c r="D59" i="35"/>
  <c r="D68" i="35"/>
  <c r="F73" i="35"/>
  <c r="E73" i="35" s="1"/>
  <c r="V75" i="35"/>
  <c r="D75" i="35" s="1"/>
  <c r="F83" i="35"/>
  <c r="E83" i="35" s="1"/>
  <c r="L85" i="35"/>
  <c r="O83" i="35"/>
  <c r="O53" i="35" s="1"/>
  <c r="O150" i="35" s="1"/>
  <c r="Q83" i="35"/>
  <c r="Q53" i="35" s="1"/>
  <c r="Q150" i="35" s="1"/>
  <c r="S83" i="35"/>
  <c r="S53" i="35" s="1"/>
  <c r="S150" i="35" s="1"/>
  <c r="Y83" i="35"/>
  <c r="Y53" i="35" s="1"/>
  <c r="AA83" i="35"/>
  <c r="AA53" i="35" s="1"/>
  <c r="AA150" i="35" s="1"/>
  <c r="D93" i="35"/>
  <c r="D97" i="35"/>
  <c r="L99" i="35"/>
  <c r="L101" i="35"/>
  <c r="D116" i="35"/>
  <c r="D118" i="35"/>
  <c r="W10" i="36"/>
  <c r="I150" i="36"/>
  <c r="J150" i="36"/>
  <c r="V73" i="36"/>
  <c r="V75" i="36"/>
  <c r="X83" i="36"/>
  <c r="V83" i="36" s="1"/>
  <c r="Z83" i="36"/>
  <c r="AB83" i="36"/>
  <c r="U83" i="35"/>
  <c r="U53" i="35" s="1"/>
  <c r="D92" i="35"/>
  <c r="G150" i="36"/>
  <c r="S150" i="36"/>
  <c r="X53" i="36"/>
  <c r="Z53" i="36"/>
  <c r="AB53" i="36"/>
  <c r="D75" i="36"/>
  <c r="V88" i="36"/>
  <c r="D88" i="36" s="1"/>
  <c r="H150" i="36"/>
  <c r="T150" i="36"/>
  <c r="L57" i="36"/>
  <c r="L55" i="36"/>
  <c r="E57" i="36"/>
  <c r="D57" i="36" s="1"/>
  <c r="L10" i="35"/>
  <c r="E10" i="35"/>
  <c r="E17" i="35"/>
  <c r="D17" i="35" s="1"/>
  <c r="D71" i="35"/>
  <c r="K150" i="35"/>
  <c r="T153" i="36"/>
  <c r="D59" i="36"/>
  <c r="D72" i="36"/>
  <c r="E99" i="36"/>
  <c r="E101" i="36"/>
  <c r="D101" i="36" s="1"/>
  <c r="M10" i="36"/>
  <c r="D79" i="36"/>
  <c r="V10" i="36"/>
  <c r="E19" i="36"/>
  <c r="D19" i="36" s="1"/>
  <c r="K17" i="36"/>
  <c r="V55" i="36"/>
  <c r="E85" i="36"/>
  <c r="D85" i="36" s="1"/>
  <c r="E83" i="36"/>
  <c r="AB150" i="36"/>
  <c r="V150" i="36" s="1"/>
  <c r="AB52" i="36"/>
  <c r="M53" i="36"/>
  <c r="L53" i="36" s="1"/>
  <c r="W53" i="36"/>
  <c r="V53" i="36" s="1"/>
  <c r="F55" i="36"/>
  <c r="E73" i="36"/>
  <c r="D73" i="36" s="1"/>
  <c r="D115" i="36"/>
  <c r="E101" i="35"/>
  <c r="D101" i="35" s="1"/>
  <c r="D10" i="35"/>
  <c r="F99" i="35"/>
  <c r="E99" i="35" s="1"/>
  <c r="F55" i="35"/>
  <c r="M55" i="35"/>
  <c r="V57" i="35"/>
  <c r="W55" i="35"/>
  <c r="D85" i="35"/>
  <c r="E55" i="35"/>
  <c r="L69" i="35"/>
  <c r="D69" i="35" s="1"/>
  <c r="R57" i="35"/>
  <c r="R55" i="35" s="1"/>
  <c r="R53" i="35" s="1"/>
  <c r="R150" i="35" s="1"/>
  <c r="M73" i="35"/>
  <c r="L73" i="35" s="1"/>
  <c r="W73" i="35"/>
  <c r="V73" i="35" s="1"/>
  <c r="M83" i="35"/>
  <c r="L83" i="35" s="1"/>
  <c r="W83" i="35"/>
  <c r="AB88" i="35"/>
  <c r="AB83" i="35" s="1"/>
  <c r="AB53" i="35" s="1"/>
  <c r="AB150" i="35" s="1"/>
  <c r="AB52" i="35" s="1"/>
  <c r="E149" i="35"/>
  <c r="D149" i="35" s="1"/>
  <c r="R69" i="12"/>
  <c r="V83" i="35" l="1"/>
  <c r="D83" i="36"/>
  <c r="L30" i="35"/>
  <c r="D30" i="35" s="1"/>
  <c r="D83" i="35"/>
  <c r="D73" i="35"/>
  <c r="F53" i="35"/>
  <c r="L10" i="36"/>
  <c r="M150" i="36"/>
  <c r="L150" i="36" s="1"/>
  <c r="D99" i="36"/>
  <c r="AD101" i="36" s="1"/>
  <c r="I14" i="3"/>
  <c r="D99" i="35"/>
  <c r="AD99" i="35" s="1"/>
  <c r="H14" i="3"/>
  <c r="E14" i="3" s="1"/>
  <c r="E55" i="36"/>
  <c r="D55" i="36" s="1"/>
  <c r="F53" i="36"/>
  <c r="F150" i="36" s="1"/>
  <c r="K10" i="36"/>
  <c r="K150" i="36" s="1"/>
  <c r="E17" i="36"/>
  <c r="D17" i="36" s="1"/>
  <c r="V88" i="35"/>
  <c r="D88" i="35" s="1"/>
  <c r="L57" i="35"/>
  <c r="D57" i="35" s="1"/>
  <c r="V150" i="35"/>
  <c r="V55" i="35"/>
  <c r="W53" i="35"/>
  <c r="V53" i="35" s="1"/>
  <c r="M53" i="35"/>
  <c r="L55" i="35"/>
  <c r="R71" i="12"/>
  <c r="V120" i="12"/>
  <c r="L120" i="12"/>
  <c r="E120" i="12"/>
  <c r="F17" i="12"/>
  <c r="E53" i="35" l="1"/>
  <c r="F150" i="35"/>
  <c r="E150" i="35" s="1"/>
  <c r="D55" i="35"/>
  <c r="E10" i="36"/>
  <c r="D10" i="36" s="1"/>
  <c r="E53" i="36"/>
  <c r="D53" i="36" s="1"/>
  <c r="AD11" i="36" s="1"/>
  <c r="AD12" i="36" s="1"/>
  <c r="AD60" i="36" s="1"/>
  <c r="AE60" i="36" s="1"/>
  <c r="L53" i="35"/>
  <c r="D53" i="35" s="1"/>
  <c r="AD11" i="35" s="1"/>
  <c r="AD12" i="35" s="1"/>
  <c r="M150" i="35"/>
  <c r="L150" i="35" s="1"/>
  <c r="D150" i="35" s="1"/>
  <c r="D120" i="12"/>
  <c r="L69" i="12"/>
  <c r="T32" i="12"/>
  <c r="K123" i="12"/>
  <c r="J119" i="12"/>
  <c r="J101" i="12"/>
  <c r="J99" i="12" s="1"/>
  <c r="J88" i="12"/>
  <c r="J85" i="12"/>
  <c r="J83" i="12" s="1"/>
  <c r="J75" i="12"/>
  <c r="J73" i="12" s="1"/>
  <c r="J57" i="12"/>
  <c r="J55" i="12" s="1"/>
  <c r="J17" i="12"/>
  <c r="J10" i="12" s="1"/>
  <c r="E69" i="12"/>
  <c r="L67" i="12"/>
  <c r="E67" i="12"/>
  <c r="E60" i="12"/>
  <c r="D60" i="12" s="1"/>
  <c r="F149" i="12"/>
  <c r="E150" i="36" l="1"/>
  <c r="D150" i="36" s="1"/>
  <c r="D69" i="12"/>
  <c r="J53" i="12"/>
  <c r="J150" i="12" s="1"/>
  <c r="D67" i="12"/>
  <c r="G30" i="14"/>
  <c r="E30" i="14"/>
  <c r="G274" i="14"/>
  <c r="F259" i="14"/>
  <c r="G258" i="14"/>
  <c r="H258" i="14" s="1"/>
  <c r="G256" i="14"/>
  <c r="H256" i="14" s="1"/>
  <c r="F242" i="14"/>
  <c r="F232" i="14"/>
  <c r="F198" i="14"/>
  <c r="F331" i="14"/>
  <c r="G338" i="14"/>
  <c r="F338" i="14"/>
  <c r="G336" i="14"/>
  <c r="F330" i="14"/>
  <c r="F332" i="14"/>
  <c r="F333" i="14"/>
  <c r="F334" i="14"/>
  <c r="F335" i="14"/>
  <c r="F329" i="14"/>
  <c r="F297" i="14"/>
  <c r="F298" i="14" s="1"/>
  <c r="G291" i="14"/>
  <c r="G289" i="14"/>
  <c r="F291" i="14"/>
  <c r="F289" i="14"/>
  <c r="H289" i="14" s="1"/>
  <c r="F133" i="14"/>
  <c r="F168" i="14"/>
  <c r="H31" i="15"/>
  <c r="F30" i="15"/>
  <c r="F31" i="15" s="1"/>
  <c r="I45" i="13"/>
  <c r="H123" i="12"/>
  <c r="I31" i="15" l="1"/>
  <c r="H291" i="14"/>
  <c r="H338" i="14"/>
  <c r="F336" i="14"/>
  <c r="F292" i="14"/>
  <c r="F281" i="14"/>
  <c r="G227" i="14"/>
  <c r="E17" i="15"/>
  <c r="E22" i="14"/>
  <c r="A3" i="12"/>
  <c r="H227" i="14" l="1"/>
  <c r="D48" i="17"/>
  <c r="I48" i="17" s="1"/>
  <c r="G20" i="13"/>
  <c r="F105" i="14"/>
  <c r="G172" i="14"/>
  <c r="F172" i="14"/>
  <c r="F207" i="14"/>
  <c r="F248" i="14"/>
  <c r="H28" i="15"/>
  <c r="H172" i="14" l="1"/>
  <c r="F27" i="15"/>
  <c r="F28" i="15" s="1"/>
  <c r="I28" i="15" s="1"/>
  <c r="K47" i="5" l="1"/>
  <c r="F57" i="21"/>
  <c r="F52" i="21"/>
  <c r="G31" i="5"/>
  <c r="G30" i="5"/>
  <c r="G29" i="5"/>
  <c r="G28" i="5"/>
  <c r="G27" i="5"/>
  <c r="L149" i="12"/>
  <c r="L109" i="12"/>
  <c r="L90" i="12"/>
  <c r="L72" i="12"/>
  <c r="G62" i="21" s="1"/>
  <c r="L71" i="12"/>
  <c r="L66" i="12"/>
  <c r="L64" i="12"/>
  <c r="L61" i="12"/>
  <c r="L59" i="12"/>
  <c r="K61" i="5"/>
  <c r="D60" i="5"/>
  <c r="J60" i="5" s="1"/>
  <c r="D59" i="5"/>
  <c r="J59" i="5" s="1"/>
  <c r="D58" i="5"/>
  <c r="J58" i="5" s="1"/>
  <c r="D57" i="5"/>
  <c r="J57" i="5" s="1"/>
  <c r="D56" i="5"/>
  <c r="J56" i="5" s="1"/>
  <c r="T75" i="12"/>
  <c r="T73" i="12" s="1"/>
  <c r="T57" i="12"/>
  <c r="T55" i="12" s="1"/>
  <c r="T30" i="12"/>
  <c r="T10" i="12" s="1"/>
  <c r="T101" i="12"/>
  <c r="T99" i="12" s="1"/>
  <c r="T88" i="12"/>
  <c r="T83" i="12"/>
  <c r="J61" i="5" l="1"/>
  <c r="L61" i="5" s="1"/>
  <c r="T53" i="12"/>
  <c r="T150" i="12" s="1"/>
  <c r="F161" i="14"/>
  <c r="G160" i="14"/>
  <c r="G159" i="14"/>
  <c r="A4" i="3"/>
  <c r="D46" i="5" l="1"/>
  <c r="J46" i="5" s="1"/>
  <c r="D45" i="5"/>
  <c r="J45" i="5" s="1"/>
  <c r="D44" i="5"/>
  <c r="J44" i="5" s="1"/>
  <c r="D43" i="5"/>
  <c r="J43" i="5" s="1"/>
  <c r="D42" i="5"/>
  <c r="J42" i="5" s="1"/>
  <c r="J47" i="5" l="1"/>
  <c r="N43" i="5" l="1"/>
  <c r="N57" i="5" s="1"/>
  <c r="N45" i="5"/>
  <c r="N59" i="5" s="1"/>
  <c r="E50" i="21"/>
  <c r="N44" i="5"/>
  <c r="N58" i="5" s="1"/>
  <c r="N46" i="5"/>
  <c r="N60" i="5" s="1"/>
  <c r="N42" i="5"/>
  <c r="N56" i="5" s="1"/>
  <c r="J48" i="6"/>
  <c r="I48" i="6"/>
  <c r="L52" i="33"/>
  <c r="G205" i="24"/>
  <c r="I206" i="24"/>
  <c r="H206" i="24"/>
  <c r="I199" i="24"/>
  <c r="H199" i="24"/>
  <c r="H193" i="24"/>
  <c r="H186" i="24"/>
  <c r="H180" i="24"/>
  <c r="I180" i="24" s="1"/>
  <c r="I179" i="24"/>
  <c r="H179" i="24"/>
  <c r="I176" i="24"/>
  <c r="H176" i="24"/>
  <c r="F175" i="24"/>
  <c r="H175" i="24" s="1"/>
  <c r="F179" i="24"/>
  <c r="H178" i="24" s="1"/>
  <c r="G178" i="24"/>
  <c r="G179" i="24" s="1"/>
  <c r="I178" i="24" s="1"/>
  <c r="I150" i="24"/>
  <c r="H150" i="24"/>
  <c r="G147" i="24"/>
  <c r="F149" i="24"/>
  <c r="G149" i="24" s="1"/>
  <c r="F148" i="24"/>
  <c r="G148" i="24" s="1"/>
  <c r="F146" i="24"/>
  <c r="G138" i="24"/>
  <c r="G135" i="24"/>
  <c r="I140" i="24"/>
  <c r="H140" i="24"/>
  <c r="F139" i="24"/>
  <c r="G139" i="24" s="1"/>
  <c r="F137" i="24"/>
  <c r="G137" i="24" s="1"/>
  <c r="F136" i="24"/>
  <c r="G136" i="24" s="1"/>
  <c r="I106" i="24"/>
  <c r="H106" i="24"/>
  <c r="F96" i="24"/>
  <c r="F95" i="24"/>
  <c r="I97" i="24"/>
  <c r="H97" i="24"/>
  <c r="I90" i="24"/>
  <c r="H90" i="24"/>
  <c r="F82" i="24"/>
  <c r="I83" i="24"/>
  <c r="H83" i="24"/>
  <c r="I73" i="24"/>
  <c r="H73" i="24"/>
  <c r="I64" i="24"/>
  <c r="H64" i="24"/>
  <c r="I58" i="24"/>
  <c r="H58" i="24"/>
  <c r="E21" i="24"/>
  <c r="H22" i="24"/>
  <c r="I17" i="34"/>
  <c r="I16" i="34"/>
  <c r="I15" i="34"/>
  <c r="J9" i="34"/>
  <c r="I8" i="34"/>
  <c r="I7" i="34"/>
  <c r="I6" i="34"/>
  <c r="J31" i="6"/>
  <c r="I31" i="6"/>
  <c r="H26" i="6"/>
  <c r="H29" i="6"/>
  <c r="H28" i="6"/>
  <c r="H21" i="6"/>
  <c r="L31" i="33"/>
  <c r="K9" i="33"/>
  <c r="I51" i="33"/>
  <c r="K51" i="33" s="1"/>
  <c r="I50" i="33"/>
  <c r="K50" i="33" s="1"/>
  <c r="I49" i="33"/>
  <c r="K49" i="33" s="1"/>
  <c r="I48" i="33"/>
  <c r="K48" i="33" s="1"/>
  <c r="I47" i="33"/>
  <c r="K47" i="33" s="1"/>
  <c r="I46" i="33"/>
  <c r="K46" i="33" s="1"/>
  <c r="I45" i="33"/>
  <c r="K45" i="33" s="1"/>
  <c r="I44" i="33"/>
  <c r="K44" i="33" s="1"/>
  <c r="I43" i="33"/>
  <c r="K43" i="33" s="1"/>
  <c r="I42" i="33"/>
  <c r="K42" i="33" s="1"/>
  <c r="I41" i="33"/>
  <c r="K41" i="33" s="1"/>
  <c r="I40" i="33"/>
  <c r="K40" i="33" s="1"/>
  <c r="I39" i="33"/>
  <c r="K39" i="33" s="1"/>
  <c r="M38" i="33"/>
  <c r="M39" i="33" s="1"/>
  <c r="I38" i="33"/>
  <c r="I52" i="33" s="1"/>
  <c r="I30" i="33"/>
  <c r="K30" i="33" s="1"/>
  <c r="D29" i="33"/>
  <c r="I29" i="33" s="1"/>
  <c r="K29" i="33" s="1"/>
  <c r="I28" i="33"/>
  <c r="K28" i="33" s="1"/>
  <c r="I27" i="33"/>
  <c r="K27" i="33" s="1"/>
  <c r="I26" i="33"/>
  <c r="K26" i="33" s="1"/>
  <c r="I25" i="33"/>
  <c r="K25" i="33" s="1"/>
  <c r="D25" i="33"/>
  <c r="I24" i="33"/>
  <c r="K24" i="33" s="1"/>
  <c r="D24" i="33"/>
  <c r="I23" i="33"/>
  <c r="K23" i="33" s="1"/>
  <c r="I22" i="33"/>
  <c r="K22" i="33" s="1"/>
  <c r="I21" i="33"/>
  <c r="K21" i="33" s="1"/>
  <c r="I20" i="33"/>
  <c r="K20" i="33" s="1"/>
  <c r="I19" i="33"/>
  <c r="K19" i="33" s="1"/>
  <c r="I18" i="33"/>
  <c r="K18" i="33" s="1"/>
  <c r="I17" i="33"/>
  <c r="K17" i="33" s="1"/>
  <c r="I16" i="33"/>
  <c r="K16" i="33" s="1"/>
  <c r="I15" i="33"/>
  <c r="K15" i="33" s="1"/>
  <c r="I14" i="33"/>
  <c r="K14" i="33" s="1"/>
  <c r="I13" i="33"/>
  <c r="K13" i="33" s="1"/>
  <c r="I12" i="33"/>
  <c r="K12" i="33" s="1"/>
  <c r="I11" i="33"/>
  <c r="K11" i="33" s="1"/>
  <c r="I10" i="33"/>
  <c r="K10" i="33" s="1"/>
  <c r="I9" i="33"/>
  <c r="I8" i="33"/>
  <c r="I31" i="33" s="1"/>
  <c r="F32" i="32"/>
  <c r="E32" i="32"/>
  <c r="D32" i="32" s="1"/>
  <c r="J32" i="32" s="1"/>
  <c r="E31" i="32"/>
  <c r="D31" i="32"/>
  <c r="J31" i="32" s="1"/>
  <c r="D30" i="32"/>
  <c r="J30" i="32" s="1"/>
  <c r="D29" i="32"/>
  <c r="J29" i="32" s="1"/>
  <c r="D28" i="32"/>
  <c r="J28" i="32" s="1"/>
  <c r="D27" i="32"/>
  <c r="J27" i="32" s="1"/>
  <c r="E26" i="32"/>
  <c r="D26" i="32" s="1"/>
  <c r="J26" i="32" s="1"/>
  <c r="F32" i="19"/>
  <c r="E32" i="19"/>
  <c r="E31" i="19"/>
  <c r="D31" i="19" s="1"/>
  <c r="J31" i="19" s="1"/>
  <c r="D30" i="19"/>
  <c r="J30" i="19" s="1"/>
  <c r="D29" i="19"/>
  <c r="J29" i="19" s="1"/>
  <c r="D28" i="19"/>
  <c r="J28" i="19" s="1"/>
  <c r="D27" i="19"/>
  <c r="J27" i="19" s="1"/>
  <c r="E26" i="19"/>
  <c r="D26" i="19" s="1"/>
  <c r="J26" i="19" s="1"/>
  <c r="K33" i="32"/>
  <c r="K33" i="19"/>
  <c r="G233" i="14"/>
  <c r="J232" i="14" s="1"/>
  <c r="F195" i="14"/>
  <c r="K38" i="33" l="1"/>
  <c r="K52" i="33" s="1"/>
  <c r="K8" i="33"/>
  <c r="K31" i="33" s="1"/>
  <c r="D32" i="19"/>
  <c r="J32" i="19" s="1"/>
  <c r="L10" i="33"/>
  <c r="M10" i="33" s="1"/>
  <c r="L30" i="33"/>
  <c r="I18" i="34"/>
  <c r="T42" i="5"/>
  <c r="T44" i="5"/>
  <c r="T45" i="5"/>
  <c r="T46" i="5"/>
  <c r="T43" i="5"/>
  <c r="F50" i="21"/>
  <c r="F49" i="21" s="1"/>
  <c r="E55" i="21"/>
  <c r="F55" i="21" s="1"/>
  <c r="F150" i="24"/>
  <c r="H149" i="24" s="1"/>
  <c r="I9" i="34"/>
  <c r="J8" i="34" s="1"/>
  <c r="L6" i="34" s="1"/>
  <c r="J33" i="32"/>
  <c r="F197" i="14"/>
  <c r="G201" i="14"/>
  <c r="F183" i="14"/>
  <c r="F182" i="14"/>
  <c r="G184" i="14"/>
  <c r="F181" i="14"/>
  <c r="G169" i="14"/>
  <c r="F132" i="14"/>
  <c r="L33" i="32" l="1"/>
  <c r="M32" i="32" s="1"/>
  <c r="G19" i="6"/>
  <c r="F184" i="14"/>
  <c r="F201" i="14"/>
  <c r="E58" i="21"/>
  <c r="G143" i="14"/>
  <c r="G134" i="14"/>
  <c r="G127" i="14"/>
  <c r="G120" i="14"/>
  <c r="G24" i="6" l="1"/>
  <c r="H19" i="6"/>
  <c r="H18" i="6" s="1"/>
  <c r="F58" i="21"/>
  <c r="F54" i="21" s="1"/>
  <c r="E61" i="21"/>
  <c r="F61" i="21" s="1"/>
  <c r="G110" i="14"/>
  <c r="J105" i="14" s="1"/>
  <c r="G91" i="14"/>
  <c r="D49" i="17"/>
  <c r="I47" i="17"/>
  <c r="D41" i="17"/>
  <c r="I41" i="17" s="1"/>
  <c r="I40" i="17"/>
  <c r="I39" i="17"/>
  <c r="D38" i="17"/>
  <c r="I38" i="17" s="1"/>
  <c r="I33" i="17"/>
  <c r="I32" i="17"/>
  <c r="I29" i="17"/>
  <c r="I28" i="17"/>
  <c r="D21" i="17"/>
  <c r="I21" i="17" s="1"/>
  <c r="K52" i="17"/>
  <c r="H19" i="15"/>
  <c r="K52" i="13"/>
  <c r="I38" i="13"/>
  <c r="I39" i="13"/>
  <c r="I40" i="13"/>
  <c r="I41" i="13"/>
  <c r="I42" i="13"/>
  <c r="I43" i="13"/>
  <c r="I44" i="13"/>
  <c r="I46" i="13"/>
  <c r="I47" i="13"/>
  <c r="I48" i="13"/>
  <c r="I49" i="13"/>
  <c r="I50" i="13"/>
  <c r="I51" i="13"/>
  <c r="M38" i="13"/>
  <c r="M39" i="13" s="1"/>
  <c r="I10" i="13"/>
  <c r="L10" i="13" s="1"/>
  <c r="M10" i="13" s="1"/>
  <c r="I30" i="13"/>
  <c r="I29" i="13"/>
  <c r="I27" i="13"/>
  <c r="I26" i="13"/>
  <c r="D25" i="13"/>
  <c r="I25" i="13" s="1"/>
  <c r="I12" i="13"/>
  <c r="I11" i="13"/>
  <c r="I8" i="13"/>
  <c r="I9" i="13"/>
  <c r="I13" i="13"/>
  <c r="I14" i="13"/>
  <c r="I15" i="13"/>
  <c r="I16" i="13"/>
  <c r="I17" i="13"/>
  <c r="I18" i="13"/>
  <c r="I19" i="13"/>
  <c r="I20" i="13"/>
  <c r="I21" i="13"/>
  <c r="I22" i="13"/>
  <c r="I23" i="13"/>
  <c r="D24" i="13"/>
  <c r="I24" i="13" s="1"/>
  <c r="I28" i="13"/>
  <c r="K31" i="13"/>
  <c r="F32" i="5"/>
  <c r="E32" i="5"/>
  <c r="E31" i="5"/>
  <c r="D31" i="5" s="1"/>
  <c r="J31" i="5" s="1"/>
  <c r="E26" i="5"/>
  <c r="D26" i="5" s="1"/>
  <c r="J26" i="5" s="1"/>
  <c r="M30" i="12"/>
  <c r="P30" i="12"/>
  <c r="Q30" i="12"/>
  <c r="R30" i="12"/>
  <c r="N30" i="12"/>
  <c r="N10" i="12" s="1"/>
  <c r="K33" i="5"/>
  <c r="G31" i="21"/>
  <c r="Q66" i="11"/>
  <c r="J18" i="34" s="1"/>
  <c r="Q30" i="11"/>
  <c r="H19" i="11"/>
  <c r="Q96" i="11"/>
  <c r="P96" i="11"/>
  <c r="O96" i="11"/>
  <c r="N96" i="11"/>
  <c r="M96" i="11"/>
  <c r="L96" i="11"/>
  <c r="Q94" i="11"/>
  <c r="P94" i="11"/>
  <c r="O94" i="11"/>
  <c r="N94" i="11"/>
  <c r="M94" i="11"/>
  <c r="L94" i="11"/>
  <c r="Q83" i="11"/>
  <c r="P83" i="11"/>
  <c r="O83" i="11"/>
  <c r="N83" i="11"/>
  <c r="M83" i="11"/>
  <c r="L83" i="11"/>
  <c r="Q80" i="11"/>
  <c r="P80" i="11"/>
  <c r="O80" i="11"/>
  <c r="N80" i="11"/>
  <c r="M80" i="11"/>
  <c r="L80" i="11"/>
  <c r="Q78" i="11"/>
  <c r="P78" i="11"/>
  <c r="O78" i="11"/>
  <c r="N78" i="11"/>
  <c r="M78" i="11"/>
  <c r="I22" i="24" s="1"/>
  <c r="L78" i="11"/>
  <c r="Q70" i="11"/>
  <c r="P70" i="11"/>
  <c r="O70" i="11"/>
  <c r="N70" i="11"/>
  <c r="M70" i="11"/>
  <c r="L70" i="11"/>
  <c r="Q68" i="11"/>
  <c r="P68" i="11"/>
  <c r="O68" i="11"/>
  <c r="N68" i="11"/>
  <c r="M68" i="11"/>
  <c r="L68" i="11"/>
  <c r="Q55" i="11"/>
  <c r="P55" i="11"/>
  <c r="O55" i="11"/>
  <c r="N55" i="11"/>
  <c r="M55" i="11"/>
  <c r="L55" i="11"/>
  <c r="Q53" i="11"/>
  <c r="P53" i="11"/>
  <c r="P51" i="11" s="1"/>
  <c r="O53" i="11"/>
  <c r="O51" i="11" s="1"/>
  <c r="N53" i="11"/>
  <c r="M53" i="11"/>
  <c r="L53" i="11"/>
  <c r="L51" i="11" s="1"/>
  <c r="Q51" i="11"/>
  <c r="M51" i="11"/>
  <c r="J96" i="11"/>
  <c r="I96" i="11"/>
  <c r="I94" i="11" s="1"/>
  <c r="H96" i="11"/>
  <c r="J94" i="11"/>
  <c r="H94" i="11"/>
  <c r="J83" i="11"/>
  <c r="I83" i="11"/>
  <c r="H83" i="11"/>
  <c r="J80" i="11"/>
  <c r="J78" i="11" s="1"/>
  <c r="I80" i="11"/>
  <c r="H80" i="11"/>
  <c r="H78" i="11" s="1"/>
  <c r="I78" i="11"/>
  <c r="I51" i="11" s="1"/>
  <c r="J70" i="11"/>
  <c r="J68" i="11"/>
  <c r="I70" i="11"/>
  <c r="H70" i="11"/>
  <c r="H68" i="11" s="1"/>
  <c r="I68" i="11"/>
  <c r="H55" i="11"/>
  <c r="H53" i="11" s="1"/>
  <c r="J55" i="11"/>
  <c r="J53" i="11" s="1"/>
  <c r="I55" i="11"/>
  <c r="I53" i="11"/>
  <c r="N51" i="11"/>
  <c r="AB92" i="12"/>
  <c r="G230" i="14"/>
  <c r="G229" i="14"/>
  <c r="H229" i="14" s="1"/>
  <c r="F230" i="14"/>
  <c r="H230" i="14" s="1"/>
  <c r="F188" i="14"/>
  <c r="G189" i="14"/>
  <c r="H184" i="14"/>
  <c r="G283" i="14"/>
  <c r="F282" i="14"/>
  <c r="G300" i="14"/>
  <c r="D315" i="14"/>
  <c r="F315" i="14" s="1"/>
  <c r="F316" i="14" s="1"/>
  <c r="D310" i="14"/>
  <c r="F311" i="14" s="1"/>
  <c r="G311" i="14"/>
  <c r="G319" i="14"/>
  <c r="G206" i="24"/>
  <c r="I205" i="24" s="1"/>
  <c r="G193" i="24"/>
  <c r="G185" i="24"/>
  <c r="G186" i="24" s="1"/>
  <c r="G168" i="24"/>
  <c r="G130" i="24"/>
  <c r="G122" i="24"/>
  <c r="G123" i="24" s="1"/>
  <c r="E48" i="6"/>
  <c r="D48" i="6"/>
  <c r="G306" i="14"/>
  <c r="E76" i="14"/>
  <c r="E77" i="14" s="1"/>
  <c r="G38" i="14"/>
  <c r="E38" i="14"/>
  <c r="F12" i="3"/>
  <c r="E12" i="3"/>
  <c r="D12" i="3"/>
  <c r="G47" i="14"/>
  <c r="F10" i="14"/>
  <c r="F11" i="14" s="1"/>
  <c r="G313" i="14"/>
  <c r="E322" i="14"/>
  <c r="E321" i="14"/>
  <c r="E320" i="14"/>
  <c r="S30" i="12"/>
  <c r="AB17" i="12"/>
  <c r="AB10" i="12" s="1"/>
  <c r="O115" i="12"/>
  <c r="O32" i="12"/>
  <c r="E47" i="14"/>
  <c r="F206" i="24"/>
  <c r="H205" i="24" s="1"/>
  <c r="F193" i="24"/>
  <c r="H192" i="24" s="1"/>
  <c r="F186" i="24"/>
  <c r="H185" i="24" s="1"/>
  <c r="F176" i="24"/>
  <c r="F180" i="24" s="1"/>
  <c r="F168" i="24"/>
  <c r="H158" i="24"/>
  <c r="G140" i="24"/>
  <c r="I139" i="24" s="1"/>
  <c r="F130" i="24"/>
  <c r="F123" i="24"/>
  <c r="F102" i="24"/>
  <c r="G96" i="24"/>
  <c r="F88" i="24"/>
  <c r="F81" i="24"/>
  <c r="G81" i="24" s="1"/>
  <c r="F72" i="24"/>
  <c r="G72" i="24" s="1"/>
  <c r="F63" i="24"/>
  <c r="H63" i="24" s="1"/>
  <c r="F57" i="24"/>
  <c r="H57" i="24" s="1"/>
  <c r="F26" i="21"/>
  <c r="F21" i="21"/>
  <c r="G175" i="24"/>
  <c r="E22" i="24"/>
  <c r="H21" i="24" s="1"/>
  <c r="G21" i="24"/>
  <c r="G22" i="24" s="1"/>
  <c r="G146" i="24"/>
  <c r="G150" i="24" s="1"/>
  <c r="I149" i="24" s="1"/>
  <c r="F199" i="24"/>
  <c r="H198" i="24" s="1"/>
  <c r="G199" i="24"/>
  <c r="I198" i="24" s="1"/>
  <c r="F103" i="24"/>
  <c r="G103" i="24" s="1"/>
  <c r="F89" i="24"/>
  <c r="F83" i="24"/>
  <c r="H82" i="24" s="1"/>
  <c r="F274" i="14"/>
  <c r="F267" i="14"/>
  <c r="G267" i="14"/>
  <c r="F249" i="14"/>
  <c r="F233" i="14"/>
  <c r="F219" i="14"/>
  <c r="F209" i="14"/>
  <c r="G209" i="14"/>
  <c r="F140" i="14"/>
  <c r="F139" i="14"/>
  <c r="F119" i="14"/>
  <c r="F118" i="14"/>
  <c r="F126" i="14"/>
  <c r="F125" i="14"/>
  <c r="F169" i="14"/>
  <c r="F109" i="14"/>
  <c r="F107" i="14"/>
  <c r="F106" i="14"/>
  <c r="F108" i="14"/>
  <c r="I49" i="17"/>
  <c r="I20" i="17"/>
  <c r="I19" i="17"/>
  <c r="I51" i="17"/>
  <c r="I46" i="17"/>
  <c r="I44" i="17"/>
  <c r="D42" i="17"/>
  <c r="I37" i="17"/>
  <c r="I35" i="17"/>
  <c r="I31" i="17"/>
  <c r="I27" i="17"/>
  <c r="I25" i="17"/>
  <c r="I23" i="17"/>
  <c r="I18" i="17"/>
  <c r="I17" i="17"/>
  <c r="I16" i="17"/>
  <c r="I14" i="17"/>
  <c r="I12" i="17"/>
  <c r="I10" i="17"/>
  <c r="I8" i="17"/>
  <c r="I7" i="17"/>
  <c r="D50" i="17"/>
  <c r="I50" i="17" s="1"/>
  <c r="I45" i="17"/>
  <c r="I43" i="17"/>
  <c r="I42" i="17"/>
  <c r="I36" i="17"/>
  <c r="I34" i="17"/>
  <c r="I30" i="17"/>
  <c r="I26" i="17"/>
  <c r="I24" i="17"/>
  <c r="I22" i="17"/>
  <c r="I15" i="17"/>
  <c r="I13" i="17"/>
  <c r="I11" i="17"/>
  <c r="I9" i="17"/>
  <c r="I6" i="17"/>
  <c r="E19" i="15"/>
  <c r="F96" i="14"/>
  <c r="F97" i="14" s="1"/>
  <c r="F90" i="14"/>
  <c r="F91" i="14" s="1"/>
  <c r="E23" i="14"/>
  <c r="D29" i="5"/>
  <c r="D27" i="5"/>
  <c r="D28" i="5"/>
  <c r="J28" i="5" s="1"/>
  <c r="D30" i="5"/>
  <c r="D32" i="5"/>
  <c r="J32" i="5" s="1"/>
  <c r="F26" i="6"/>
  <c r="F21" i="6"/>
  <c r="J27" i="5"/>
  <c r="J29" i="5"/>
  <c r="J30" i="5"/>
  <c r="L33" i="12"/>
  <c r="D33" i="12" s="1"/>
  <c r="V149" i="12"/>
  <c r="E149" i="12"/>
  <c r="V148" i="12"/>
  <c r="L148" i="12"/>
  <c r="E148" i="12"/>
  <c r="D148" i="12"/>
  <c r="V147" i="12"/>
  <c r="L147" i="12"/>
  <c r="E147" i="12"/>
  <c r="D147" i="12"/>
  <c r="V145" i="12"/>
  <c r="L145" i="12"/>
  <c r="E145" i="12"/>
  <c r="D145" i="12"/>
  <c r="V144" i="12"/>
  <c r="L144" i="12"/>
  <c r="E144" i="12"/>
  <c r="D144" i="12"/>
  <c r="V143" i="12"/>
  <c r="L143" i="12"/>
  <c r="E143" i="12"/>
  <c r="D143" i="12"/>
  <c r="V141" i="12"/>
  <c r="L141" i="12"/>
  <c r="E141" i="12"/>
  <c r="D141" i="12"/>
  <c r="V139" i="12"/>
  <c r="L139" i="12"/>
  <c r="E139" i="12"/>
  <c r="V138" i="12"/>
  <c r="L138" i="12"/>
  <c r="E138" i="12"/>
  <c r="V137" i="12"/>
  <c r="L137" i="12"/>
  <c r="D137" i="12" s="1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D129" i="12" s="1"/>
  <c r="E129" i="12"/>
  <c r="V128" i="12"/>
  <c r="L128" i="12"/>
  <c r="E128" i="12"/>
  <c r="V127" i="12"/>
  <c r="L127" i="12"/>
  <c r="D127" i="12" s="1"/>
  <c r="E127" i="12"/>
  <c r="V126" i="12"/>
  <c r="L126" i="12"/>
  <c r="E126" i="12"/>
  <c r="V125" i="12"/>
  <c r="L125" i="12"/>
  <c r="E125" i="12"/>
  <c r="V124" i="12"/>
  <c r="L124" i="12"/>
  <c r="E124" i="12"/>
  <c r="V123" i="12"/>
  <c r="L123" i="12"/>
  <c r="E123" i="12"/>
  <c r="V122" i="12"/>
  <c r="L122" i="12"/>
  <c r="E122" i="12"/>
  <c r="V121" i="12"/>
  <c r="L121" i="12"/>
  <c r="E121" i="12"/>
  <c r="V119" i="12"/>
  <c r="L119" i="12"/>
  <c r="E119" i="12"/>
  <c r="V118" i="12"/>
  <c r="L118" i="12"/>
  <c r="D118" i="12" s="1"/>
  <c r="E118" i="12"/>
  <c r="V117" i="12"/>
  <c r="L117" i="12"/>
  <c r="E117" i="12"/>
  <c r="D117" i="12" s="1"/>
  <c r="V116" i="12"/>
  <c r="L116" i="12"/>
  <c r="E116" i="12"/>
  <c r="V115" i="12"/>
  <c r="E115" i="12"/>
  <c r="G161" i="14" s="1"/>
  <c r="H161" i="14" s="1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V110" i="12"/>
  <c r="L110" i="12"/>
  <c r="D110" i="12" s="1"/>
  <c r="E110" i="12"/>
  <c r="V109" i="12"/>
  <c r="E109" i="12"/>
  <c r="V108" i="12"/>
  <c r="L108" i="12"/>
  <c r="E108" i="12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D104" i="12" s="1"/>
  <c r="V103" i="12"/>
  <c r="L103" i="12"/>
  <c r="E103" i="12"/>
  <c r="AB101" i="12"/>
  <c r="AB99" i="12" s="1"/>
  <c r="AA101" i="12"/>
  <c r="AA99" i="12" s="1"/>
  <c r="Z101" i="12"/>
  <c r="Z99" i="12" s="1"/>
  <c r="Y101" i="12"/>
  <c r="X101" i="12"/>
  <c r="X99" i="12" s="1"/>
  <c r="W101" i="12"/>
  <c r="W99" i="12" s="1"/>
  <c r="U101" i="12"/>
  <c r="U99" i="12" s="1"/>
  <c r="S101" i="12"/>
  <c r="R101" i="12"/>
  <c r="R99" i="12" s="1"/>
  <c r="Q101" i="12"/>
  <c r="P101" i="12"/>
  <c r="P99" i="12" s="1"/>
  <c r="N101" i="12"/>
  <c r="N99" i="12" s="1"/>
  <c r="M101" i="12"/>
  <c r="K101" i="12"/>
  <c r="K99" i="12" s="1"/>
  <c r="I101" i="12"/>
  <c r="I99" i="12" s="1"/>
  <c r="H101" i="12"/>
  <c r="H99" i="12" s="1"/>
  <c r="G101" i="12"/>
  <c r="G99" i="12" s="1"/>
  <c r="F101" i="12"/>
  <c r="F99" i="12" s="1"/>
  <c r="D100" i="12"/>
  <c r="Y99" i="12"/>
  <c r="S99" i="12"/>
  <c r="Q99" i="12"/>
  <c r="M99" i="12"/>
  <c r="V97" i="12"/>
  <c r="L97" i="12"/>
  <c r="E97" i="12"/>
  <c r="V95" i="12"/>
  <c r="D95" i="12"/>
  <c r="V93" i="12"/>
  <c r="L93" i="12"/>
  <c r="D93" i="12" s="1"/>
  <c r="E93" i="12"/>
  <c r="V92" i="12"/>
  <c r="L92" i="12"/>
  <c r="E92" i="12"/>
  <c r="V91" i="12"/>
  <c r="L91" i="12"/>
  <c r="E91" i="12"/>
  <c r="V90" i="12"/>
  <c r="G23" i="14"/>
  <c r="J22" i="14" s="1"/>
  <c r="E90" i="12"/>
  <c r="AB88" i="12"/>
  <c r="AA88" i="12"/>
  <c r="Z88" i="12"/>
  <c r="Y88" i="12"/>
  <c r="X88" i="12"/>
  <c r="W88" i="12"/>
  <c r="V88" i="12" s="1"/>
  <c r="U88" i="12"/>
  <c r="S88" i="12"/>
  <c r="R88" i="12"/>
  <c r="Q88" i="12"/>
  <c r="P88" i="12"/>
  <c r="O88" i="12"/>
  <c r="N88" i="12"/>
  <c r="M88" i="12"/>
  <c r="K88" i="12"/>
  <c r="I88" i="12"/>
  <c r="H88" i="12"/>
  <c r="G88" i="12"/>
  <c r="E88" i="12" s="1"/>
  <c r="F88" i="12"/>
  <c r="V87" i="12"/>
  <c r="L87" i="12"/>
  <c r="E87" i="12"/>
  <c r="D87" i="12" s="1"/>
  <c r="AB85" i="12"/>
  <c r="AB83" i="12" s="1"/>
  <c r="AA85" i="12"/>
  <c r="AA83" i="12" s="1"/>
  <c r="Z85" i="12"/>
  <c r="Y85" i="12"/>
  <c r="X85" i="12"/>
  <c r="W85" i="12"/>
  <c r="W83" i="12" s="1"/>
  <c r="U85" i="12"/>
  <c r="S85" i="12"/>
  <c r="S83" i="12" s="1"/>
  <c r="R85" i="12"/>
  <c r="Q85" i="12"/>
  <c r="P85" i="12"/>
  <c r="O85" i="12"/>
  <c r="O83" i="12" s="1"/>
  <c r="N85" i="12"/>
  <c r="M85" i="12"/>
  <c r="M83" i="12" s="1"/>
  <c r="K85" i="12"/>
  <c r="I85" i="12"/>
  <c r="I83" i="12" s="1"/>
  <c r="H85" i="12"/>
  <c r="G85" i="12"/>
  <c r="F85" i="12"/>
  <c r="E85" i="12"/>
  <c r="V82" i="12"/>
  <c r="L82" i="12"/>
  <c r="E82" i="12"/>
  <c r="V81" i="12"/>
  <c r="L81" i="12"/>
  <c r="E81" i="12"/>
  <c r="V80" i="12"/>
  <c r="L80" i="12"/>
  <c r="D80" i="12" s="1"/>
  <c r="E80" i="12"/>
  <c r="V79" i="12"/>
  <c r="L79" i="12"/>
  <c r="E79" i="12"/>
  <c r="V78" i="12"/>
  <c r="L78" i="12"/>
  <c r="E78" i="12"/>
  <c r="V77" i="12"/>
  <c r="L77" i="12"/>
  <c r="E77" i="12"/>
  <c r="D77" i="12" s="1"/>
  <c r="AB75" i="12"/>
  <c r="AB73" i="12" s="1"/>
  <c r="AA75" i="12"/>
  <c r="AA73" i="12" s="1"/>
  <c r="Z75" i="12"/>
  <c r="Z73" i="12" s="1"/>
  <c r="Y75" i="12"/>
  <c r="Y73" i="12" s="1"/>
  <c r="X75" i="12"/>
  <c r="X73" i="12" s="1"/>
  <c r="W75" i="12"/>
  <c r="V75" i="12" s="1"/>
  <c r="U75" i="12"/>
  <c r="U73" i="12" s="1"/>
  <c r="S75" i="12"/>
  <c r="S73" i="12" s="1"/>
  <c r="R75" i="12"/>
  <c r="R73" i="12" s="1"/>
  <c r="Q75" i="12"/>
  <c r="Q73" i="12" s="1"/>
  <c r="P75" i="12"/>
  <c r="P73" i="12" s="1"/>
  <c r="O75" i="12"/>
  <c r="O73" i="12" s="1"/>
  <c r="N75" i="12"/>
  <c r="N73" i="12" s="1"/>
  <c r="M75" i="12"/>
  <c r="K75" i="12"/>
  <c r="K73" i="12" s="1"/>
  <c r="I75" i="12"/>
  <c r="I73" i="12" s="1"/>
  <c r="H75" i="12"/>
  <c r="H73" i="12" s="1"/>
  <c r="G75" i="12"/>
  <c r="G73" i="12" s="1"/>
  <c r="F75" i="12"/>
  <c r="V72" i="12"/>
  <c r="E72" i="12"/>
  <c r="V71" i="12"/>
  <c r="E71" i="12"/>
  <c r="V70" i="12"/>
  <c r="L70" i="12"/>
  <c r="E70" i="12"/>
  <c r="D70" i="12" s="1"/>
  <c r="V68" i="12"/>
  <c r="L68" i="12"/>
  <c r="E68" i="12"/>
  <c r="V66" i="12"/>
  <c r="E66" i="12"/>
  <c r="V65" i="12"/>
  <c r="L65" i="12"/>
  <c r="E65" i="12"/>
  <c r="D65" i="12" s="1"/>
  <c r="V64" i="12"/>
  <c r="E64" i="12"/>
  <c r="V63" i="12"/>
  <c r="L63" i="12"/>
  <c r="E63" i="12"/>
  <c r="V62" i="12"/>
  <c r="L62" i="12"/>
  <c r="E62" i="12"/>
  <c r="D62" i="12" s="1"/>
  <c r="V61" i="12"/>
  <c r="E61" i="12"/>
  <c r="V59" i="12"/>
  <c r="E59" i="12"/>
  <c r="AB57" i="12"/>
  <c r="AB55" i="12" s="1"/>
  <c r="AA57" i="12"/>
  <c r="AA55" i="12" s="1"/>
  <c r="Z57" i="12"/>
  <c r="Z55" i="12" s="1"/>
  <c r="Y57" i="12"/>
  <c r="Y55" i="12" s="1"/>
  <c r="X57" i="12"/>
  <c r="X55" i="12" s="1"/>
  <c r="W57" i="12"/>
  <c r="V57" i="12" s="1"/>
  <c r="U57" i="12"/>
  <c r="U55" i="12" s="1"/>
  <c r="S57" i="12"/>
  <c r="S55" i="12" s="1"/>
  <c r="R57" i="12"/>
  <c r="R55" i="12" s="1"/>
  <c r="Q57" i="12"/>
  <c r="Q55" i="12" s="1"/>
  <c r="P57" i="12"/>
  <c r="P55" i="12" s="1"/>
  <c r="O57" i="12"/>
  <c r="O55" i="12" s="1"/>
  <c r="N57" i="12"/>
  <c r="N55" i="12" s="1"/>
  <c r="M57" i="12"/>
  <c r="M55" i="12" s="1"/>
  <c r="K57" i="12"/>
  <c r="K55" i="12" s="1"/>
  <c r="I57" i="12"/>
  <c r="I55" i="12" s="1"/>
  <c r="H57" i="12"/>
  <c r="H55" i="12" s="1"/>
  <c r="G57" i="12"/>
  <c r="G55" i="12" s="1"/>
  <c r="F57" i="12"/>
  <c r="F55" i="12" s="1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A17" i="12"/>
  <c r="Y17" i="12"/>
  <c r="X17" i="12"/>
  <c r="X10" i="12"/>
  <c r="W17" i="12"/>
  <c r="W10" i="12"/>
  <c r="K17" i="12"/>
  <c r="I17" i="12"/>
  <c r="I10" i="12" s="1"/>
  <c r="H17" i="12"/>
  <c r="V15" i="12"/>
  <c r="D15" i="12" s="1"/>
  <c r="V14" i="12"/>
  <c r="D14" i="12" s="1"/>
  <c r="V12" i="12"/>
  <c r="D12" i="12" s="1"/>
  <c r="Z10" i="12"/>
  <c r="S10" i="12"/>
  <c r="L47" i="5" s="1"/>
  <c r="R10" i="12"/>
  <c r="Q10" i="12"/>
  <c r="P10" i="12"/>
  <c r="M10" i="12"/>
  <c r="K10" i="12"/>
  <c r="G10" i="12"/>
  <c r="F10" i="12"/>
  <c r="Q10" i="11"/>
  <c r="Q50" i="11" s="1"/>
  <c r="E75" i="12"/>
  <c r="G83" i="12"/>
  <c r="L85" i="12"/>
  <c r="D85" i="12" s="1"/>
  <c r="V85" i="12"/>
  <c r="X83" i="12"/>
  <c r="H83" i="12"/>
  <c r="F73" i="12"/>
  <c r="L75" i="12"/>
  <c r="Q83" i="12"/>
  <c r="D114" i="12"/>
  <c r="D123" i="12"/>
  <c r="G234" i="14" s="1"/>
  <c r="D133" i="12"/>
  <c r="D149" i="12"/>
  <c r="M73" i="12"/>
  <c r="AA10" i="12"/>
  <c r="D90" i="12"/>
  <c r="I19" i="15"/>
  <c r="D81" i="12"/>
  <c r="Y83" i="12"/>
  <c r="E57" i="12"/>
  <c r="N83" i="12"/>
  <c r="R83" i="12"/>
  <c r="D91" i="12"/>
  <c r="D97" i="12"/>
  <c r="V101" i="12"/>
  <c r="W55" i="12"/>
  <c r="W73" i="12"/>
  <c r="V73" i="12" s="1"/>
  <c r="T144" i="11"/>
  <c r="K144" i="11"/>
  <c r="E144" i="11"/>
  <c r="D144" i="11" s="1"/>
  <c r="T143" i="11"/>
  <c r="K143" i="11"/>
  <c r="E143" i="11"/>
  <c r="D143" i="11" s="1"/>
  <c r="T142" i="11"/>
  <c r="K142" i="11"/>
  <c r="E142" i="11"/>
  <c r="D142" i="11" s="1"/>
  <c r="T141" i="11"/>
  <c r="K141" i="11"/>
  <c r="E141" i="11"/>
  <c r="D141" i="11" s="1"/>
  <c r="T139" i="11"/>
  <c r="K139" i="11"/>
  <c r="E139" i="11"/>
  <c r="D139" i="11" s="1"/>
  <c r="T138" i="11"/>
  <c r="K138" i="11"/>
  <c r="E138" i="11"/>
  <c r="D138" i="11" s="1"/>
  <c r="T137" i="11"/>
  <c r="K137" i="11"/>
  <c r="E137" i="11"/>
  <c r="D137" i="11" s="1"/>
  <c r="T135" i="11"/>
  <c r="K135" i="11"/>
  <c r="E135" i="11"/>
  <c r="D135" i="11" s="1"/>
  <c r="T133" i="11"/>
  <c r="K133" i="11"/>
  <c r="E133" i="11"/>
  <c r="T132" i="11"/>
  <c r="K132" i="11"/>
  <c r="E132" i="11"/>
  <c r="D132" i="11" s="1"/>
  <c r="T131" i="11"/>
  <c r="K131" i="11"/>
  <c r="E131" i="11"/>
  <c r="T130" i="11"/>
  <c r="K130" i="11"/>
  <c r="E130" i="11"/>
  <c r="D130" i="11" s="1"/>
  <c r="T129" i="11"/>
  <c r="K129" i="11"/>
  <c r="E129" i="11"/>
  <c r="T128" i="11"/>
  <c r="K128" i="11"/>
  <c r="E128" i="11"/>
  <c r="D128" i="11" s="1"/>
  <c r="T127" i="11"/>
  <c r="K127" i="11"/>
  <c r="E127" i="11"/>
  <c r="T126" i="11"/>
  <c r="K126" i="11"/>
  <c r="E126" i="11"/>
  <c r="D126" i="11" s="1"/>
  <c r="T125" i="11"/>
  <c r="K125" i="11"/>
  <c r="E125" i="11"/>
  <c r="T124" i="11"/>
  <c r="K124" i="11"/>
  <c r="E124" i="11"/>
  <c r="D124" i="11" s="1"/>
  <c r="T123" i="11"/>
  <c r="K123" i="11"/>
  <c r="E123" i="11"/>
  <c r="T122" i="11"/>
  <c r="K122" i="11"/>
  <c r="E122" i="11"/>
  <c r="T121" i="11"/>
  <c r="K121" i="11"/>
  <c r="E121" i="11"/>
  <c r="D121" i="11"/>
  <c r="T120" i="11"/>
  <c r="K120" i="11"/>
  <c r="D120" i="11" s="1"/>
  <c r="E120" i="11"/>
  <c r="I193" i="24" s="1"/>
  <c r="T119" i="11"/>
  <c r="K119" i="11"/>
  <c r="E119" i="11"/>
  <c r="T118" i="11"/>
  <c r="K118" i="11"/>
  <c r="E118" i="11"/>
  <c r="T117" i="11"/>
  <c r="K117" i="11"/>
  <c r="E117" i="11"/>
  <c r="D117" i="11" s="1"/>
  <c r="T116" i="11"/>
  <c r="K116" i="11"/>
  <c r="E116" i="11"/>
  <c r="D116" i="11" s="1"/>
  <c r="T115" i="11"/>
  <c r="K115" i="11"/>
  <c r="E115" i="11"/>
  <c r="T114" i="11"/>
  <c r="K114" i="11"/>
  <c r="E114" i="11"/>
  <c r="T113" i="11"/>
  <c r="K113" i="11"/>
  <c r="E113" i="11"/>
  <c r="D113" i="11"/>
  <c r="T112" i="11"/>
  <c r="K112" i="11"/>
  <c r="D112" i="11" s="1"/>
  <c r="E112" i="11"/>
  <c r="T111" i="11"/>
  <c r="K111" i="11"/>
  <c r="E111" i="11"/>
  <c r="D111" i="11" s="1"/>
  <c r="T110" i="11"/>
  <c r="K110" i="11"/>
  <c r="E110" i="11"/>
  <c r="T109" i="11"/>
  <c r="K109" i="11"/>
  <c r="E109" i="11"/>
  <c r="D109" i="11" s="1"/>
  <c r="T108" i="11"/>
  <c r="K108" i="11"/>
  <c r="E108" i="11"/>
  <c r="D108" i="11" s="1"/>
  <c r="T107" i="11"/>
  <c r="K107" i="11"/>
  <c r="E107" i="11"/>
  <c r="T106" i="11"/>
  <c r="K106" i="11"/>
  <c r="E106" i="11"/>
  <c r="T105" i="11"/>
  <c r="K105" i="11"/>
  <c r="E105" i="11"/>
  <c r="D105" i="11"/>
  <c r="T104" i="11"/>
  <c r="K104" i="11"/>
  <c r="D104" i="11" s="1"/>
  <c r="E104" i="11"/>
  <c r="T103" i="11"/>
  <c r="K103" i="11"/>
  <c r="E103" i="11"/>
  <c r="D103" i="11" s="1"/>
  <c r="T102" i="11"/>
  <c r="K102" i="11"/>
  <c r="E102" i="11"/>
  <c r="T101" i="11"/>
  <c r="K101" i="11"/>
  <c r="E101" i="11"/>
  <c r="D101" i="11" s="1"/>
  <c r="T100" i="11"/>
  <c r="K100" i="11"/>
  <c r="E100" i="11"/>
  <c r="D100" i="11" s="1"/>
  <c r="T99" i="11"/>
  <c r="K99" i="11"/>
  <c r="E99" i="11"/>
  <c r="T98" i="11"/>
  <c r="K98" i="11"/>
  <c r="E98" i="11"/>
  <c r="Z96" i="11"/>
  <c r="Y96" i="11"/>
  <c r="Y94" i="11" s="1"/>
  <c r="X96" i="11"/>
  <c r="W96" i="11"/>
  <c r="W94" i="11" s="1"/>
  <c r="V96" i="11"/>
  <c r="U96" i="11"/>
  <c r="U94" i="11" s="1"/>
  <c r="S96" i="11"/>
  <c r="R96" i="11"/>
  <c r="K96" i="11" s="1"/>
  <c r="G96" i="11"/>
  <c r="G94" i="11" s="1"/>
  <c r="F96" i="11"/>
  <c r="E96" i="11" s="1"/>
  <c r="D95" i="11"/>
  <c r="Z94" i="11"/>
  <c r="X94" i="11"/>
  <c r="V94" i="11"/>
  <c r="S94" i="11"/>
  <c r="T92" i="11"/>
  <c r="K92" i="11"/>
  <c r="E92" i="11"/>
  <c r="T90" i="11"/>
  <c r="D90" i="11" s="1"/>
  <c r="T88" i="11"/>
  <c r="K88" i="11"/>
  <c r="E88" i="11"/>
  <c r="D88" i="11" s="1"/>
  <c r="T87" i="11"/>
  <c r="K87" i="11"/>
  <c r="D87" i="11" s="1"/>
  <c r="E87" i="11"/>
  <c r="T86" i="11"/>
  <c r="K86" i="11"/>
  <c r="E86" i="11"/>
  <c r="T85" i="11"/>
  <c r="K85" i="11"/>
  <c r="E85" i="11"/>
  <c r="Z83" i="11"/>
  <c r="Y83" i="11"/>
  <c r="X83" i="11"/>
  <c r="W83" i="11"/>
  <c r="V83" i="11"/>
  <c r="U83" i="11"/>
  <c r="T83" i="11" s="1"/>
  <c r="S83" i="11"/>
  <c r="R83" i="11"/>
  <c r="K83" i="11" s="1"/>
  <c r="G83" i="11"/>
  <c r="F83" i="11"/>
  <c r="T82" i="11"/>
  <c r="K82" i="11"/>
  <c r="E82" i="11"/>
  <c r="D82" i="11" s="1"/>
  <c r="Z80" i="11"/>
  <c r="Z78" i="11" s="1"/>
  <c r="Y80" i="11"/>
  <c r="X80" i="11"/>
  <c r="X78" i="11" s="1"/>
  <c r="W80" i="11"/>
  <c r="W78" i="11"/>
  <c r="V80" i="11"/>
  <c r="V78" i="11" s="1"/>
  <c r="U80" i="11"/>
  <c r="T80" i="11" s="1"/>
  <c r="S80" i="11"/>
  <c r="S78" i="11" s="1"/>
  <c r="R80" i="11"/>
  <c r="K80" i="11" s="1"/>
  <c r="G80" i="11"/>
  <c r="F80" i="11"/>
  <c r="E80" i="11" s="1"/>
  <c r="D80" i="11" s="1"/>
  <c r="T77" i="11"/>
  <c r="K77" i="11"/>
  <c r="E77" i="11"/>
  <c r="D77" i="11" s="1"/>
  <c r="T76" i="11"/>
  <c r="K76" i="11"/>
  <c r="E76" i="11"/>
  <c r="D76" i="11" s="1"/>
  <c r="T75" i="11"/>
  <c r="K75" i="11"/>
  <c r="E75" i="11"/>
  <c r="D75" i="11" s="1"/>
  <c r="T74" i="11"/>
  <c r="K74" i="11"/>
  <c r="E74" i="11"/>
  <c r="D74" i="11" s="1"/>
  <c r="T73" i="11"/>
  <c r="K73" i="11"/>
  <c r="E73" i="11"/>
  <c r="D73" i="11" s="1"/>
  <c r="T72" i="11"/>
  <c r="K72" i="11"/>
  <c r="E72" i="11"/>
  <c r="D72" i="11" s="1"/>
  <c r="Z70" i="11"/>
  <c r="Z68" i="11" s="1"/>
  <c r="Y70" i="11"/>
  <c r="Y68" i="11" s="1"/>
  <c r="X70" i="11"/>
  <c r="X68" i="11" s="1"/>
  <c r="W70" i="11"/>
  <c r="W68" i="11"/>
  <c r="V70" i="11"/>
  <c r="U70" i="11"/>
  <c r="T70" i="11" s="1"/>
  <c r="S70" i="11"/>
  <c r="S68" i="11" s="1"/>
  <c r="R70" i="11"/>
  <c r="K70" i="11" s="1"/>
  <c r="G70" i="11"/>
  <c r="G68" i="11" s="1"/>
  <c r="F70" i="11"/>
  <c r="E70" i="11" s="1"/>
  <c r="D70" i="11" s="1"/>
  <c r="V68" i="11"/>
  <c r="T67" i="11"/>
  <c r="K67" i="11"/>
  <c r="D67" i="11" s="1"/>
  <c r="E67" i="11"/>
  <c r="T66" i="11"/>
  <c r="K66" i="11"/>
  <c r="E66" i="11"/>
  <c r="D66" i="11" s="1"/>
  <c r="T65" i="11"/>
  <c r="K65" i="11"/>
  <c r="E65" i="11"/>
  <c r="T64" i="11"/>
  <c r="K64" i="11"/>
  <c r="E64" i="11"/>
  <c r="D64" i="11" s="1"/>
  <c r="T63" i="11"/>
  <c r="K63" i="11"/>
  <c r="E63" i="11"/>
  <c r="T62" i="11"/>
  <c r="K62" i="11"/>
  <c r="E62" i="11"/>
  <c r="D62" i="11" s="1"/>
  <c r="T61" i="11"/>
  <c r="K61" i="11"/>
  <c r="M31" i="33" s="1"/>
  <c r="M30" i="33" s="1"/>
  <c r="E61" i="11"/>
  <c r="T60" i="11"/>
  <c r="K60" i="11"/>
  <c r="E60" i="11"/>
  <c r="D60" i="11" s="1"/>
  <c r="T59" i="11"/>
  <c r="K59" i="11"/>
  <c r="E59" i="11"/>
  <c r="T58" i="11"/>
  <c r="K58" i="11"/>
  <c r="E58" i="11"/>
  <c r="D58" i="11" s="1"/>
  <c r="T57" i="11"/>
  <c r="K57" i="11"/>
  <c r="E57" i="11"/>
  <c r="Z55" i="11"/>
  <c r="Z53" i="11" s="1"/>
  <c r="Y55" i="11"/>
  <c r="Y53" i="11"/>
  <c r="X55" i="11"/>
  <c r="W55" i="11"/>
  <c r="W53" i="11" s="1"/>
  <c r="W51" i="11" s="1"/>
  <c r="V55" i="11"/>
  <c r="U55" i="11"/>
  <c r="U53" i="11" s="1"/>
  <c r="T53" i="11" s="1"/>
  <c r="S55" i="11"/>
  <c r="S53" i="11"/>
  <c r="S51" i="11" s="1"/>
  <c r="S50" i="11" s="1"/>
  <c r="R55" i="11"/>
  <c r="K55" i="11"/>
  <c r="G55" i="11"/>
  <c r="G53" i="11"/>
  <c r="F55" i="11"/>
  <c r="F53" i="11" s="1"/>
  <c r="X53" i="11"/>
  <c r="V53" i="11"/>
  <c r="T49" i="11"/>
  <c r="D49" i="11" s="1"/>
  <c r="T47" i="11"/>
  <c r="D47" i="11" s="1"/>
  <c r="T46" i="11"/>
  <c r="D46" i="11" s="1"/>
  <c r="T45" i="11"/>
  <c r="D45" i="11" s="1"/>
  <c r="T44" i="11"/>
  <c r="D44" i="11" s="1"/>
  <c r="T43" i="11"/>
  <c r="D43" i="11" s="1"/>
  <c r="T41" i="11"/>
  <c r="D41" i="11" s="1"/>
  <c r="T39" i="11"/>
  <c r="D39" i="11" s="1"/>
  <c r="D38" i="11"/>
  <c r="D37" i="11"/>
  <c r="D36" i="11"/>
  <c r="T35" i="11"/>
  <c r="D35" i="11" s="1"/>
  <c r="T34" i="11"/>
  <c r="D34" i="11" s="1"/>
  <c r="Y32" i="11"/>
  <c r="T32" i="11" s="1"/>
  <c r="D32" i="11" s="1"/>
  <c r="K30" i="11"/>
  <c r="D30" i="11" s="1"/>
  <c r="T28" i="11"/>
  <c r="D28" i="11" s="1"/>
  <c r="T26" i="11"/>
  <c r="D26" i="11" s="1"/>
  <c r="T24" i="11"/>
  <c r="D24" i="11" s="1"/>
  <c r="T23" i="11"/>
  <c r="D23" i="11" s="1"/>
  <c r="T22" i="11"/>
  <c r="D22" i="11" s="1"/>
  <c r="T21" i="11"/>
  <c r="D21" i="11" s="1"/>
  <c r="T20" i="11"/>
  <c r="D20" i="11" s="1"/>
  <c r="E19" i="11"/>
  <c r="D19" i="11" s="1"/>
  <c r="Y17" i="11"/>
  <c r="W17" i="11"/>
  <c r="W10" i="11" s="1"/>
  <c r="V17" i="11"/>
  <c r="V10" i="11" s="1"/>
  <c r="U17" i="11"/>
  <c r="T17" i="11" s="1"/>
  <c r="J17" i="11"/>
  <c r="J10" i="11" s="1"/>
  <c r="I17" i="11"/>
  <c r="I10" i="11" s="1"/>
  <c r="H17" i="11"/>
  <c r="H10" i="11"/>
  <c r="T15" i="11"/>
  <c r="D15" i="11" s="1"/>
  <c r="T14" i="11"/>
  <c r="D14" i="11" s="1"/>
  <c r="T12" i="11"/>
  <c r="D12" i="11" s="1"/>
  <c r="X10" i="11"/>
  <c r="R10" i="11"/>
  <c r="K10" i="11" s="1"/>
  <c r="P10" i="11"/>
  <c r="P50" i="11"/>
  <c r="O10" i="11"/>
  <c r="O50" i="11"/>
  <c r="N10" i="11"/>
  <c r="N50" i="11"/>
  <c r="M10" i="11"/>
  <c r="M50" i="11"/>
  <c r="L10" i="11"/>
  <c r="G10" i="11"/>
  <c r="F10" i="11"/>
  <c r="R53" i="11"/>
  <c r="E83" i="11"/>
  <c r="D133" i="11"/>
  <c r="L50" i="11"/>
  <c r="D85" i="11"/>
  <c r="D98" i="11"/>
  <c r="D102" i="11"/>
  <c r="D106" i="11"/>
  <c r="D110" i="11"/>
  <c r="D86" i="11"/>
  <c r="D92" i="11"/>
  <c r="D114" i="11"/>
  <c r="D118" i="11"/>
  <c r="D122" i="11"/>
  <c r="T55" i="11"/>
  <c r="K53" i="11"/>
  <c r="U68" i="11"/>
  <c r="T68" i="11" s="1"/>
  <c r="U78" i="11"/>
  <c r="D95" i="10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J53" i="10" s="1"/>
  <c r="I55" i="10"/>
  <c r="I53" i="10" s="1"/>
  <c r="H55" i="10"/>
  <c r="H53" i="10" s="1"/>
  <c r="G55" i="10"/>
  <c r="G53" i="10" s="1"/>
  <c r="F55" i="10"/>
  <c r="F53" i="10" s="1"/>
  <c r="E55" i="10"/>
  <c r="E53" i="10" s="1"/>
  <c r="D51" i="10"/>
  <c r="D49" i="10"/>
  <c r="D47" i="10"/>
  <c r="D46" i="10"/>
  <c r="D45" i="10"/>
  <c r="D44" i="10"/>
  <c r="J42" i="10"/>
  <c r="I42" i="10"/>
  <c r="H42" i="10"/>
  <c r="G42" i="10"/>
  <c r="F42" i="10"/>
  <c r="F37" i="10" s="1"/>
  <c r="E42" i="10"/>
  <c r="D41" i="10"/>
  <c r="J39" i="10"/>
  <c r="I39" i="10"/>
  <c r="H39" i="10"/>
  <c r="G39" i="10"/>
  <c r="F39" i="10"/>
  <c r="E39" i="10"/>
  <c r="D36" i="10"/>
  <c r="D35" i="10"/>
  <c r="D34" i="10"/>
  <c r="D33" i="10"/>
  <c r="D32" i="10"/>
  <c r="D31" i="10"/>
  <c r="J29" i="10"/>
  <c r="J27" i="10" s="1"/>
  <c r="I29" i="10"/>
  <c r="I27" i="10" s="1"/>
  <c r="H29" i="10"/>
  <c r="H27" i="10" s="1"/>
  <c r="G29" i="10"/>
  <c r="G27" i="10" s="1"/>
  <c r="F29" i="10"/>
  <c r="F27" i="10" s="1"/>
  <c r="E29" i="10"/>
  <c r="D26" i="10"/>
  <c r="D25" i="10"/>
  <c r="D24" i="10"/>
  <c r="D23" i="10"/>
  <c r="D22" i="10"/>
  <c r="D21" i="10"/>
  <c r="D20" i="10"/>
  <c r="D19" i="10"/>
  <c r="D18" i="10"/>
  <c r="D17" i="10"/>
  <c r="D16" i="10"/>
  <c r="J14" i="10"/>
  <c r="J12" i="10" s="1"/>
  <c r="I14" i="10"/>
  <c r="I12" i="10" s="1"/>
  <c r="H14" i="10"/>
  <c r="H12" i="10" s="1"/>
  <c r="G14" i="10"/>
  <c r="G12" i="10" s="1"/>
  <c r="F14" i="10"/>
  <c r="F12" i="10" s="1"/>
  <c r="E14" i="10"/>
  <c r="G37" i="10"/>
  <c r="J37" i="10"/>
  <c r="D29" i="10"/>
  <c r="E12" i="10"/>
  <c r="E27" i="10"/>
  <c r="D27" i="10" s="1"/>
  <c r="E37" i="10"/>
  <c r="D37" i="10" l="1"/>
  <c r="D53" i="10"/>
  <c r="F10" i="10"/>
  <c r="F9" i="10" s="1"/>
  <c r="I50" i="11"/>
  <c r="Z51" i="11"/>
  <c r="Z50" i="11" s="1"/>
  <c r="X51" i="11"/>
  <c r="X50" i="11" s="1"/>
  <c r="D83" i="11"/>
  <c r="T94" i="11"/>
  <c r="L14" i="3" s="1"/>
  <c r="L11" i="3" s="1"/>
  <c r="D119" i="11"/>
  <c r="I186" i="24"/>
  <c r="I185" i="24" s="1"/>
  <c r="Y10" i="12"/>
  <c r="V10" i="12" s="1"/>
  <c r="V17" i="12"/>
  <c r="G97" i="14"/>
  <c r="H97" i="14" s="1"/>
  <c r="D108" i="12"/>
  <c r="E10" i="10"/>
  <c r="E9" i="10" s="1"/>
  <c r="D55" i="10"/>
  <c r="D39" i="10"/>
  <c r="H37" i="10"/>
  <c r="H10" i="10" s="1"/>
  <c r="H9" i="10" s="1"/>
  <c r="D42" i="10"/>
  <c r="I37" i="10"/>
  <c r="E17" i="11"/>
  <c r="D17" i="11" s="1"/>
  <c r="F94" i="11"/>
  <c r="T96" i="11"/>
  <c r="D96" i="11" s="1"/>
  <c r="E55" i="11"/>
  <c r="D55" i="11" s="1"/>
  <c r="U10" i="11"/>
  <c r="D57" i="11"/>
  <c r="D59" i="11"/>
  <c r="D61" i="11"/>
  <c r="D63" i="11"/>
  <c r="D65" i="11"/>
  <c r="Y51" i="11"/>
  <c r="G78" i="11"/>
  <c r="G51" i="11" s="1"/>
  <c r="G50" i="11" s="1"/>
  <c r="V51" i="11"/>
  <c r="V50" i="11" s="1"/>
  <c r="Y78" i="11"/>
  <c r="E94" i="11"/>
  <c r="D99" i="11"/>
  <c r="D107" i="11"/>
  <c r="D115" i="11"/>
  <c r="D123" i="11"/>
  <c r="D125" i="11"/>
  <c r="D127" i="11"/>
  <c r="D129" i="11"/>
  <c r="D131" i="11"/>
  <c r="H234" i="14"/>
  <c r="Y53" i="12"/>
  <c r="F234" i="14"/>
  <c r="H233" i="14"/>
  <c r="L115" i="12"/>
  <c r="D115" i="12" s="1"/>
  <c r="O101" i="12"/>
  <c r="O99" i="12" s="1"/>
  <c r="L99" i="12" s="1"/>
  <c r="I192" i="24"/>
  <c r="J51" i="11"/>
  <c r="J50" i="11" s="1"/>
  <c r="D61" i="12"/>
  <c r="D72" i="12"/>
  <c r="D78" i="12"/>
  <c r="D79" i="12"/>
  <c r="G11" i="14" s="1"/>
  <c r="D82" i="12"/>
  <c r="F83" i="12"/>
  <c r="F53" i="12" s="1"/>
  <c r="F150" i="12" s="1"/>
  <c r="K83" i="12"/>
  <c r="P83" i="12"/>
  <c r="U83" i="12"/>
  <c r="Z83" i="12"/>
  <c r="Z53" i="12" s="1"/>
  <c r="D103" i="12"/>
  <c r="D105" i="12"/>
  <c r="D106" i="12"/>
  <c r="D107" i="12"/>
  <c r="D109" i="12"/>
  <c r="D112" i="12"/>
  <c r="D116" i="12"/>
  <c r="D121" i="12"/>
  <c r="H168" i="24" s="1"/>
  <c r="D125" i="12"/>
  <c r="D131" i="12"/>
  <c r="D135" i="12"/>
  <c r="I21" i="24"/>
  <c r="O30" i="12"/>
  <c r="O10" i="12" s="1"/>
  <c r="L32" i="12"/>
  <c r="D32" i="12" s="1"/>
  <c r="K8" i="34"/>
  <c r="J17" i="34"/>
  <c r="H24" i="6"/>
  <c r="G27" i="6"/>
  <c r="D139" i="12"/>
  <c r="D64" i="12"/>
  <c r="D111" i="12"/>
  <c r="D119" i="12"/>
  <c r="D122" i="12"/>
  <c r="D124" i="12"/>
  <c r="D132" i="12"/>
  <c r="L10" i="12"/>
  <c r="D92" i="12"/>
  <c r="L55" i="12"/>
  <c r="M53" i="12"/>
  <c r="D68" i="12"/>
  <c r="E55" i="12"/>
  <c r="D71" i="12"/>
  <c r="L30" i="12"/>
  <c r="H169" i="14"/>
  <c r="F173" i="14"/>
  <c r="I52" i="13"/>
  <c r="O42" i="5"/>
  <c r="L46" i="5"/>
  <c r="H130" i="24"/>
  <c r="I130" i="24" s="1"/>
  <c r="G173" i="14"/>
  <c r="H53" i="12"/>
  <c r="E101" i="12"/>
  <c r="I53" i="12"/>
  <c r="I150" i="12" s="1"/>
  <c r="D136" i="12"/>
  <c r="G298" i="14" s="1"/>
  <c r="H298" i="14" s="1"/>
  <c r="N50" i="5"/>
  <c r="D30" i="12"/>
  <c r="I31" i="13"/>
  <c r="R53" i="12"/>
  <c r="V55" i="12"/>
  <c r="X53" i="12"/>
  <c r="S53" i="12"/>
  <c r="S150" i="12" s="1"/>
  <c r="L57" i="12"/>
  <c r="D57" i="12" s="1"/>
  <c r="F62" i="21"/>
  <c r="H62" i="21" s="1"/>
  <c r="O43" i="5"/>
  <c r="O45" i="5"/>
  <c r="O44" i="5"/>
  <c r="O46" i="5"/>
  <c r="E83" i="12"/>
  <c r="L83" i="12"/>
  <c r="L88" i="12"/>
  <c r="D88" i="12" s="1"/>
  <c r="G53" i="12"/>
  <c r="G150" i="12" s="1"/>
  <c r="E73" i="12"/>
  <c r="D75" i="12"/>
  <c r="AA53" i="12"/>
  <c r="AA150" i="12" s="1"/>
  <c r="U53" i="12"/>
  <c r="AB53" i="12"/>
  <c r="AB150" i="12" s="1"/>
  <c r="AB52" i="12" s="1"/>
  <c r="V99" i="12"/>
  <c r="J14" i="3" s="1"/>
  <c r="J11" i="3" s="1"/>
  <c r="M150" i="12"/>
  <c r="D134" i="12"/>
  <c r="G292" i="14" s="1"/>
  <c r="H292" i="14" s="1"/>
  <c r="D63" i="12"/>
  <c r="D66" i="12"/>
  <c r="D113" i="12"/>
  <c r="D126" i="12"/>
  <c r="G249" i="14" s="1"/>
  <c r="H249" i="14" s="1"/>
  <c r="D128" i="12"/>
  <c r="G259" i="14" s="1"/>
  <c r="H259" i="14" s="1"/>
  <c r="D130" i="12"/>
  <c r="D138" i="12"/>
  <c r="P53" i="12"/>
  <c r="P150" i="12" s="1"/>
  <c r="Q53" i="12"/>
  <c r="Q150" i="12" s="1"/>
  <c r="O53" i="12"/>
  <c r="O150" i="12" s="1"/>
  <c r="V150" i="12"/>
  <c r="L73" i="12"/>
  <c r="L31" i="13"/>
  <c r="L52" i="13"/>
  <c r="W53" i="12"/>
  <c r="D55" i="12"/>
  <c r="N53" i="12"/>
  <c r="N150" i="12" s="1"/>
  <c r="E99" i="12"/>
  <c r="K53" i="12"/>
  <c r="K150" i="12" s="1"/>
  <c r="E17" i="12"/>
  <c r="D17" i="12" s="1"/>
  <c r="H10" i="12"/>
  <c r="D59" i="12"/>
  <c r="G63" i="24"/>
  <c r="G64" i="24" s="1"/>
  <c r="G176" i="24"/>
  <c r="G180" i="24" s="1"/>
  <c r="I175" i="24"/>
  <c r="I168" i="24"/>
  <c r="F158" i="24"/>
  <c r="I158" i="24" s="1"/>
  <c r="F64" i="24"/>
  <c r="F73" i="24"/>
  <c r="G88" i="24"/>
  <c r="G102" i="24"/>
  <c r="G106" i="24" s="1"/>
  <c r="I103" i="24" s="1"/>
  <c r="F106" i="24"/>
  <c r="H103" i="24" s="1"/>
  <c r="J90" i="24"/>
  <c r="F140" i="24"/>
  <c r="H139" i="24" s="1"/>
  <c r="I63" i="24"/>
  <c r="G57" i="24"/>
  <c r="I57" i="24" s="1"/>
  <c r="F58" i="24"/>
  <c r="H47" i="14"/>
  <c r="H336" i="14"/>
  <c r="H38" i="14"/>
  <c r="F305" i="14"/>
  <c r="H300" i="14" s="1"/>
  <c r="H201" i="14"/>
  <c r="H267" i="14"/>
  <c r="H189" i="14"/>
  <c r="H306" i="14"/>
  <c r="F120" i="14"/>
  <c r="H120" i="14" s="1"/>
  <c r="J119" i="14" s="1"/>
  <c r="H209" i="14"/>
  <c r="H274" i="14"/>
  <c r="F283" i="14"/>
  <c r="H283" i="14" s="1"/>
  <c r="F189" i="14"/>
  <c r="F127" i="14"/>
  <c r="L125" i="14" s="1"/>
  <c r="M125" i="14" s="1"/>
  <c r="G141" i="14"/>
  <c r="F143" i="14"/>
  <c r="F134" i="14"/>
  <c r="H311" i="14"/>
  <c r="F110" i="14"/>
  <c r="H110" i="14" s="1"/>
  <c r="H23" i="14"/>
  <c r="H11" i="14"/>
  <c r="I52" i="17"/>
  <c r="L52" i="17" s="1"/>
  <c r="K11" i="3"/>
  <c r="D12" i="10"/>
  <c r="D14" i="10"/>
  <c r="G10" i="10"/>
  <c r="G9" i="10" s="1"/>
  <c r="I10" i="10"/>
  <c r="I9" i="10" s="1"/>
  <c r="W50" i="11"/>
  <c r="E53" i="11"/>
  <c r="D53" i="11" s="1"/>
  <c r="J10" i="10"/>
  <c r="J9" i="10" s="1"/>
  <c r="T78" i="11"/>
  <c r="U51" i="11"/>
  <c r="E10" i="11"/>
  <c r="Y10" i="11"/>
  <c r="Y50" i="11" s="1"/>
  <c r="F68" i="11"/>
  <c r="E68" i="11" s="1"/>
  <c r="R68" i="11"/>
  <c r="F78" i="11"/>
  <c r="E78" i="11" s="1"/>
  <c r="R78" i="11"/>
  <c r="K78" i="11" s="1"/>
  <c r="R94" i="11"/>
  <c r="K94" i="11" s="1"/>
  <c r="G242" i="14"/>
  <c r="H242" i="14" s="1"/>
  <c r="G219" i="14"/>
  <c r="H219" i="14" s="1"/>
  <c r="H91" i="14"/>
  <c r="J97" i="24"/>
  <c r="J106" i="24"/>
  <c r="H141" i="14"/>
  <c r="J33" i="5"/>
  <c r="H51" i="11"/>
  <c r="H50" i="11" s="1"/>
  <c r="G89" i="24"/>
  <c r="F90" i="24"/>
  <c r="J33" i="19"/>
  <c r="G73" i="24"/>
  <c r="G82" i="24"/>
  <c r="G83" i="24" s="1"/>
  <c r="I82" i="24" s="1"/>
  <c r="J83" i="24"/>
  <c r="G95" i="24"/>
  <c r="G97" i="24" s="1"/>
  <c r="I96" i="24" s="1"/>
  <c r="F97" i="24"/>
  <c r="H96" i="24" s="1"/>
  <c r="G158" i="24"/>
  <c r="F323" i="14"/>
  <c r="H313" i="14" s="1"/>
  <c r="V83" i="12" l="1"/>
  <c r="D83" i="12" s="1"/>
  <c r="L33" i="19"/>
  <c r="E19" i="6"/>
  <c r="G90" i="24"/>
  <c r="D94" i="11"/>
  <c r="D78" i="11"/>
  <c r="L101" i="12"/>
  <c r="H27" i="6"/>
  <c r="H23" i="6" s="1"/>
  <c r="H31" i="6" s="1"/>
  <c r="J30" i="6" s="1"/>
  <c r="G30" i="6"/>
  <c r="H30" i="6" s="1"/>
  <c r="L53" i="12"/>
  <c r="R150" i="12"/>
  <c r="L150" i="12" s="1"/>
  <c r="D73" i="12"/>
  <c r="E53" i="12"/>
  <c r="H173" i="14"/>
  <c r="D101" i="12"/>
  <c r="H319" i="14"/>
  <c r="V53" i="12"/>
  <c r="N28" i="5"/>
  <c r="N30" i="5"/>
  <c r="N32" i="5"/>
  <c r="N27" i="5"/>
  <c r="N29" i="5"/>
  <c r="N31" i="5"/>
  <c r="N26" i="5"/>
  <c r="D99" i="12"/>
  <c r="G14" i="3"/>
  <c r="E10" i="12"/>
  <c r="D10" i="12" s="1"/>
  <c r="H150" i="12"/>
  <c r="E150" i="12" s="1"/>
  <c r="G58" i="24"/>
  <c r="I120" i="14"/>
  <c r="H143" i="14"/>
  <c r="H134" i="14"/>
  <c r="H127" i="14"/>
  <c r="J126" i="14" s="1"/>
  <c r="L126" i="14"/>
  <c r="M126" i="14" s="1"/>
  <c r="E11" i="3"/>
  <c r="H11" i="3"/>
  <c r="L33" i="5"/>
  <c r="L32" i="5" s="1"/>
  <c r="E19" i="21"/>
  <c r="K68" i="11"/>
  <c r="D68" i="11" s="1"/>
  <c r="R51" i="11"/>
  <c r="U50" i="11"/>
  <c r="T51" i="11"/>
  <c r="F51" i="11"/>
  <c r="T10" i="11"/>
  <c r="T50" i="11" s="1"/>
  <c r="D10" i="10"/>
  <c r="D9" i="10" s="1"/>
  <c r="F19" i="6" l="1"/>
  <c r="F18" i="6" s="1"/>
  <c r="E24" i="6"/>
  <c r="D150" i="12"/>
  <c r="D53" i="12"/>
  <c r="O28" i="5"/>
  <c r="O32" i="5"/>
  <c r="O27" i="5"/>
  <c r="O29" i="5"/>
  <c r="O31" i="5"/>
  <c r="O26" i="5"/>
  <c r="O30" i="5"/>
  <c r="G11" i="3"/>
  <c r="D14" i="3"/>
  <c r="D11" i="3" s="1"/>
  <c r="I127" i="14"/>
  <c r="K51" i="11"/>
  <c r="K50" i="11" s="1"/>
  <c r="R50" i="11"/>
  <c r="I11" i="3"/>
  <c r="F14" i="3"/>
  <c r="F11" i="3" s="1"/>
  <c r="D10" i="11"/>
  <c r="AB19" i="11" s="1"/>
  <c r="F19" i="21"/>
  <c r="F18" i="21" s="1"/>
  <c r="E24" i="21"/>
  <c r="E51" i="11"/>
  <c r="F50" i="11"/>
  <c r="E27" i="6" l="1"/>
  <c r="F24" i="6"/>
  <c r="P33" i="5"/>
  <c r="O33" i="5"/>
  <c r="D51" i="11"/>
  <c r="E50" i="11"/>
  <c r="D50" i="11" s="1"/>
  <c r="F24" i="21"/>
  <c r="E27" i="21"/>
  <c r="F27" i="6" l="1"/>
  <c r="F23" i="6" s="1"/>
  <c r="F31" i="6" s="1"/>
  <c r="I30" i="6" s="1"/>
  <c r="E30" i="6"/>
  <c r="F30" i="6" s="1"/>
  <c r="F27" i="21"/>
  <c r="F23" i="21" s="1"/>
  <c r="E30" i="21"/>
  <c r="F30" i="21" s="1"/>
  <c r="F31" i="21" l="1"/>
  <c r="H31" i="21" s="1"/>
</calcChain>
</file>

<file path=xl/comments1.xml><?xml version="1.0" encoding="utf-8"?>
<comments xmlns="http://schemas.openxmlformats.org/spreadsheetml/2006/main">
  <authors>
    <author>user</author>
  </authors>
  <commentList>
    <comment ref="D10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умножаем на два потому что дорога в два конца</t>
        </r>
      </text>
    </comment>
  </commentList>
</comments>
</file>

<file path=xl/sharedStrings.xml><?xml version="1.0" encoding="utf-8"?>
<sst xmlns="http://schemas.openxmlformats.org/spreadsheetml/2006/main" count="3478" uniqueCount="851">
  <si>
    <t>нет таких</t>
  </si>
  <si>
    <t>Налог на имущество организации</t>
  </si>
  <si>
    <r>
      <t>Источник финансового обеспечения _</t>
    </r>
    <r>
      <rPr>
        <u/>
        <sz val="12"/>
        <color indexed="8"/>
        <rFont val="Times New Roman"/>
        <family val="1"/>
        <charset val="204"/>
      </rPr>
      <t>Субсидии на иные цели  (КВФО 5)</t>
    </r>
    <r>
      <rPr>
        <sz val="12"/>
        <color indexed="8"/>
        <rFont val="Times New Roman"/>
        <family val="1"/>
        <charset val="204"/>
      </rPr>
      <t>_________</t>
    </r>
  </si>
  <si>
    <t>№</t>
  </si>
  <si>
    <t>Пункт проведения отпуска</t>
  </si>
  <si>
    <t>стро-</t>
  </si>
  <si>
    <t>ФИО</t>
  </si>
  <si>
    <t>ки</t>
  </si>
  <si>
    <t>в год</t>
  </si>
  <si>
    <t>ИТОГО</t>
  </si>
  <si>
    <t>1.5. Расчеты (обоснования) возмещения персоналу расходов, связанных с проездом в отпуск   (статья 112-212-1101-2101)</t>
  </si>
  <si>
    <t>(статья 113-290-1150-2108)</t>
  </si>
  <si>
    <t xml:space="preserve">Питание обучающихся на Первенстве РС(Я) по баскетболу </t>
  </si>
  <si>
    <t>Количество обучающихся, чел.</t>
  </si>
  <si>
    <t>Проживание на Первенстве Амурской области по баскетболу</t>
  </si>
  <si>
    <t xml:space="preserve">Питание обучающихся на Первенстве Амурской области по баскетболу </t>
  </si>
  <si>
    <t>Питание обучающихся на Первенстве РС(Я) по волейболу</t>
  </si>
  <si>
    <t>Питание обучающихся на Первенстве РС(Я) по теннису</t>
  </si>
  <si>
    <t>Проживание на Спартакиаде школьников РС(Я) по теннису</t>
  </si>
  <si>
    <t>Питание обучающихся на Спартакиаде школьников РС(Я) по теннису</t>
  </si>
  <si>
    <t>Питание обучающихся на Первенстве РС(Я) по пулевой стрельбе</t>
  </si>
  <si>
    <t>Питание обучающихся на Спартакиаде РС(Я) по легкой атлетике</t>
  </si>
  <si>
    <t>Питание обучающихся на Первенстве РС(Я) по легкой атлетике</t>
  </si>
  <si>
    <t>Питание обучающихся на лично-командном Первенстве по лыжным гонкам</t>
  </si>
  <si>
    <t xml:space="preserve">Питание обучающихся на первенстве РС(Я) по мини-футболу </t>
  </si>
  <si>
    <t>Питание обучающихся на первенстве по Хоккею с шайбой</t>
  </si>
  <si>
    <t>Кол-во членов семьи (иждивенцев)</t>
  </si>
  <si>
    <t>1.6. Расчеты (обоснования) выплат на 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</si>
  <si>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(статья 244 - 222 - 1125 - 2108)</t>
  </si>
  <si>
    <t>Перевозка обучающихся и сопровождающих  к месту проведения соревнований, в г.Якутск</t>
  </si>
  <si>
    <t>Перевозка обучающихся и сопровождающих  к месту проведения соревнований сс.Чурапча</t>
  </si>
  <si>
    <t>Перевозка обучающихся и сопровождающих  к месту проведения соревнований с. Намцы</t>
  </si>
  <si>
    <t>Перевозка сопровождающих  к месту проведения соревнований  г.Алдан</t>
  </si>
  <si>
    <t>взять в Лидере</t>
  </si>
  <si>
    <t>6.5.2. Расчет (обоснование) расходов на Противопожарные мероприятия (огнезащитная обработка имущества и зарядка огнетушителей) (статья 244 - 225 - 1106 - 2000 и статья 244 - 225 - 1106 - 2005)</t>
  </si>
  <si>
    <t>6.5.2. Расчет (обоснование) расходов на Содержание в чистоте помещений, зданий,дворов, иного имущества (статья 244 - 225 - 1111 - 2000)</t>
  </si>
  <si>
    <t>здание ДЮСШ "Лидер" г.Нерюнгри ул.Дружбы народов 12/1</t>
  </si>
  <si>
    <t>6.5.3. Расчет (обоснование)  прочих расходов по содержанию имуществаа (статья 244 - 225 - 1129 - 2000)</t>
  </si>
  <si>
    <t>Огнезащитная обработка пола спортивного зала</t>
  </si>
  <si>
    <t>спортивный зал, ДЮСШ "Лидер"</t>
  </si>
  <si>
    <t>Окраска стен (статья 244-225-1105-2002)</t>
  </si>
  <si>
    <t xml:space="preserve">Возмещение МБУК "ЦКиД им. А.С.Пушкина" (размещ.выв ТБО) Дог.139 от 22.12.16. </t>
  </si>
  <si>
    <t xml:space="preserve">Возмещение МБУК "ЦКиД им. А.С.Пушкина (переработка ТБО) Дог.139 от 22.12.16. </t>
  </si>
  <si>
    <t>Техническое обслуживание пожарной сигнализации ООО "Спецмонтажавтоматика" (Дог.№ТО-17-090 от 17.12.16.</t>
  </si>
  <si>
    <t>КХО в здании СОШ №2 (ОПТС) г.Нерюнгри, ул.Аммосова 6 кор 3</t>
  </si>
  <si>
    <t>Техническое обслуживание средств сигнализации ФГУП "Охрана"</t>
  </si>
  <si>
    <t>6.6.1. Расчет (обоснование) расходов на оплату за 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</si>
  <si>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Составление сметы на окраску стен</t>
  </si>
  <si>
    <t>6.6.2. Расчет (обоснование) расходов на оплату за услуги вневедомственной и ведомственной (в том числе пожарной) охраны</t>
  </si>
  <si>
    <t>Охрана объекта ОВО по Нерюнгринскому району-филиал ФГКУ "УВО МВД по РС(Я)</t>
  </si>
  <si>
    <t>(статья 244 - 226 - 1132 - 2002)</t>
  </si>
  <si>
    <t>(статья 244 - 226 - 1134 - 2005)</t>
  </si>
  <si>
    <t>6.5.3. Расчет (обоснование)  прочих расходов по содержанию имуществаа (статья 244 - 225 - 1129 - 2005)</t>
  </si>
  <si>
    <t>(статья 244 - 226 - 1136 - 2000)</t>
  </si>
  <si>
    <t>Оплата за обновление антивирусных баз и програмное обеспечение</t>
  </si>
  <si>
    <t>(статья 244 - 226 - 1137 - 2000)</t>
  </si>
  <si>
    <t>Подписка на периодические печатные издания (УФПС РС(Я)-филиала ФГУП "Почта России")</t>
  </si>
  <si>
    <t>6.6.4. Расчет (обоснование) расходов на оплату за подписку на периодические и справочные издания</t>
  </si>
  <si>
    <t>6.6.3. Расчет (обоснование) расходов на  закупку товаров, работ, услуг в сфере информационно-коммуникационных технологий</t>
  </si>
  <si>
    <t>Курсы повышения квалификации</t>
  </si>
  <si>
    <t>Проверка сметы и строительный контроль</t>
  </si>
  <si>
    <t>6.6.6. Расчет (обоснование) расходов на оплату за иные работы и услуги</t>
  </si>
  <si>
    <t>6.6.5. Расчет (обоснование) расходов на оплату за обучение на курсах повышения квалификации, подготовки и переподготовки специалистов</t>
  </si>
  <si>
    <t>(статья 244 - 226 - 1140 - 2000)</t>
  </si>
  <si>
    <t>Медосмотр работников учреждения</t>
  </si>
  <si>
    <t>Оплата за мячи</t>
  </si>
  <si>
    <t>Оплата за картридж</t>
  </si>
  <si>
    <t>Заправка картриджа</t>
  </si>
  <si>
    <t>6.3.1. Расчет (обоснование) расходов на оплату услуг отопления прочих постащиков  (статья 244-223-1107-2000)</t>
  </si>
  <si>
    <t>6.3.2. Расчет (обоснование) расходов на оплату услуг предоставления электроэнергии  (статья 244-223-1109-2000)</t>
  </si>
  <si>
    <t>6.3.3. Расчет (обоснование) расходов на оплату услуг горячего и холодного водоснабжения, подвоз воды  (статья 244-223-1110-2000)</t>
  </si>
  <si>
    <t>6.3.4. Расчет (обоснование) расходов на оплату услуг канализации,ассенизации, водоотведения  (статья 244-223-1126-2000)</t>
  </si>
  <si>
    <t xml:space="preserve">Оплата услуг предоставления электроэнергии 1-е полуг 2017г </t>
  </si>
  <si>
    <t xml:space="preserve">Оплата услуг предоставления электроэнергии 2-е полуг 2017г </t>
  </si>
  <si>
    <t xml:space="preserve">Оплата услуг горячего и холодного водоснабжения 1-е полуг 2017г </t>
  </si>
  <si>
    <t xml:space="preserve">Оплата услуг горячего и холодного водоснабженияводы 2-е полуг 2017г </t>
  </si>
  <si>
    <t xml:space="preserve">Оплата услуг канализации,ассенизации, водоотведения 1-е полуг 2017г </t>
  </si>
  <si>
    <t xml:space="preserve">Оплата услуг канализации,ассенизации, водоотведения 2 -е полуг 2017г </t>
  </si>
  <si>
    <r>
      <t>Код видов расходов _</t>
    </r>
    <r>
      <rPr>
        <u/>
        <sz val="12"/>
        <color indexed="8"/>
        <rFont val="Times New Roman"/>
        <family val="1"/>
        <charset val="204"/>
      </rPr>
      <t>Уплата налога на имущество организаций и земельного налога                   (КВР 851)</t>
    </r>
    <r>
      <rPr>
        <sz val="12"/>
        <color indexed="8"/>
        <rFont val="Times New Roman"/>
        <family val="1"/>
        <charset val="204"/>
      </rPr>
      <t>__</t>
    </r>
  </si>
  <si>
    <t>Источник финансового обеспечения _Субсидии на иные цели  (КВФО 5)</t>
  </si>
  <si>
    <t>Источник финансового обеспечения __Субсидии на выполнение государственного (муниципального) задания__(КВФО 4)</t>
  </si>
  <si>
    <t>Источник финансового обеспечения: Субсидии на выполнение государственного (муниципального) задания (КВФО 4)</t>
  </si>
  <si>
    <t>(статья 851 - 290 - 1143 - 2102)</t>
  </si>
  <si>
    <t>6.5.1. Расчет (обоснование) расходов на Текущий ремонт нефинансовых активов (статья 244 - 225 - 1105 - 2002)</t>
  </si>
  <si>
    <t>3.1. Расчет (обоснование) расходов на уплату налогов на имущество и земельного налога</t>
  </si>
  <si>
    <r>
      <t>Код видов расходов _</t>
    </r>
    <r>
      <rPr>
        <u/>
        <sz val="12"/>
        <color indexed="8"/>
        <rFont val="Times New Roman"/>
        <family val="1"/>
        <charset val="204"/>
      </rPr>
      <t>Уплата иных платежей                   (КВР 853)</t>
    </r>
    <r>
      <rPr>
        <sz val="12"/>
        <color indexed="8"/>
        <rFont val="Times New Roman"/>
        <family val="1"/>
        <charset val="204"/>
      </rPr>
      <t>__</t>
    </r>
  </si>
  <si>
    <t>3.2. Расчет (обоснование) расходов на уплату  иных платежей</t>
  </si>
  <si>
    <t>Основание</t>
  </si>
  <si>
    <t>Предписание  КСП б/н от 26.01.17г.</t>
  </si>
  <si>
    <t>Сумма платежа, руб.</t>
  </si>
  <si>
    <t>Денежн.взыскания,налагаемые в возмещение ущерба (возврат в бюджет субсидии на выполнение муниципального задания неправомерно использованную по нецелевому назначению)</t>
  </si>
  <si>
    <t>изменения 06.02.17.</t>
  </si>
  <si>
    <t>(статья 853 - 290 - 1144 - 2002)  с изменениями  от 06.02.17.</t>
  </si>
  <si>
    <t>Исполнитель эконмист  _______________Панаева И.А.</t>
  </si>
  <si>
    <r>
      <t>Источник финансового обеспечения __</t>
    </r>
    <r>
      <rPr>
        <u/>
        <sz val="12"/>
        <color indexed="8"/>
        <rFont val="Times New Roman"/>
        <family val="1"/>
        <charset val="204"/>
      </rPr>
      <t>Субсидии на выполнение государственного (муниципального) задания</t>
    </r>
    <r>
      <rPr>
        <sz val="12"/>
        <color indexed="8"/>
        <rFont val="Times New Roman"/>
        <family val="1"/>
        <charset val="204"/>
      </rPr>
      <t>__(КВФО 4)</t>
    </r>
  </si>
  <si>
    <t>Доходы за нарушение условий договоров (ФЗ - 44,223) (Доп КР 0716)</t>
  </si>
  <si>
    <t>с изменениями от 15.03.17.</t>
  </si>
  <si>
    <t>(статья 244 - 340 - 1123 - 0708)</t>
  </si>
  <si>
    <t>(статья 244 - 340 - 1123 - 2002)</t>
  </si>
  <si>
    <t>ППКОП 011-8-1-03К Приток А-4(8)</t>
  </si>
  <si>
    <t>Считыватель-2 исп.00 Считыватель ключей ТМ (хром)</t>
  </si>
  <si>
    <t>Астра-Р Радиосистема тревожной сигнализации</t>
  </si>
  <si>
    <t>Средняя стоимость,  с учетом НДСруб.</t>
  </si>
  <si>
    <t>Предписание  КСП</t>
  </si>
  <si>
    <t>(статья 853 - 290 - 1144 - 0716)  с изменениями  от 15.03.17.</t>
  </si>
  <si>
    <t>(статья 321 - 263 - 1142 - 2101)</t>
  </si>
  <si>
    <r>
      <t>Код видов расходов _</t>
    </r>
    <r>
      <rPr>
        <u/>
        <sz val="12"/>
        <color indexed="8"/>
        <rFont val="Times New Roman"/>
        <family val="1"/>
        <charset val="204"/>
      </rPr>
      <t>социальные выплаты гражданам, кроме публичных нормативных социальных выплат (КВР 320)</t>
    </r>
    <r>
      <rPr>
        <sz val="12"/>
        <color indexed="8"/>
        <rFont val="Times New Roman"/>
        <family val="1"/>
        <charset val="204"/>
      </rPr>
      <t>_</t>
    </r>
  </si>
  <si>
    <t>Компенсация физическому лицу при переезде из районов Крайнего Севера после увольнения</t>
  </si>
  <si>
    <r>
      <t>Код видов расходов _</t>
    </r>
    <r>
      <rPr>
        <u/>
        <sz val="12"/>
        <color indexed="8"/>
        <rFont val="Times New Roman"/>
        <family val="1"/>
        <charset val="204"/>
      </rPr>
      <t>Уплата прочих налогов, сборов и иных обязательных платежей                   (КВР 852)</t>
    </r>
    <r>
      <rPr>
        <sz val="12"/>
        <color indexed="8"/>
        <rFont val="Times New Roman"/>
        <family val="1"/>
        <charset val="204"/>
      </rPr>
      <t>__</t>
    </r>
  </si>
  <si>
    <t>(статья 852 - 290 - 1143 - 2000)</t>
  </si>
  <si>
    <t>Сумма , руб.</t>
  </si>
  <si>
    <t>Государственная пошлина за государственную регистрацию изменений  учредительных документов юридического лица ДЮСШ "Лидер"</t>
  </si>
  <si>
    <t>Бумага офисная</t>
  </si>
  <si>
    <t>Источник финансового обеспечения __Субсидии на выполнение государственного (муниципального) задания(КВФО 4)</t>
  </si>
  <si>
    <r>
      <t>Источник финансового обеспечения _</t>
    </r>
    <r>
      <rPr>
        <u/>
        <sz val="12"/>
        <color indexed="8"/>
        <rFont val="Times New Roman"/>
        <family val="1"/>
        <charset val="204"/>
      </rPr>
      <t>_Субсидии на выполнение государственного (муниципального) задания(КВФО 4)</t>
    </r>
  </si>
  <si>
    <t>Сумма, руб. (гр. 3 x гр. 4 x гр. 5), 2019 год</t>
  </si>
  <si>
    <t>Сумма взноса, руб., 2019 год</t>
  </si>
  <si>
    <t>Количество работников</t>
  </si>
  <si>
    <t>Сумма исчисленного налога, подлежащего уплате, руб. (гр. 3 x гр. 4 / 100), 2019 год</t>
  </si>
  <si>
    <t>Сумма, руб. (гр. 3 x гр. 4), 2019 год</t>
  </si>
  <si>
    <t>Сумма, руб. гр. 4 x гр. 5 x гр. 6), 2019 год</t>
  </si>
  <si>
    <t>Сумма, руб. гр. 4 x гр. 5 x гр. 6), 2019</t>
  </si>
  <si>
    <t>Стоимость работ (услуг), руб., 2018 год</t>
  </si>
  <si>
    <t>Стоимость работ (услуг), руб., 2019 год</t>
  </si>
  <si>
    <t>Стоимость услуги, руб., 2018 год</t>
  </si>
  <si>
    <t>Стоимость услуги, руб., 2019 год</t>
  </si>
  <si>
    <r>
      <t>Код видов расходов __</t>
    </r>
    <r>
      <rPr>
        <u/>
        <sz val="12"/>
        <color indexed="8"/>
        <rFont val="Times New Roman"/>
        <family val="1"/>
        <charset val="204"/>
      </rPr>
      <t>Иные закупки товаров, работ и услуг для государственных нужд</t>
    </r>
    <r>
      <rPr>
        <sz val="12"/>
        <color indexed="8"/>
        <rFont val="Times New Roman"/>
        <family val="1"/>
        <charset val="204"/>
      </rPr>
      <t>__</t>
    </r>
    <r>
      <rPr>
        <u/>
        <sz val="12"/>
        <color indexed="8"/>
        <rFont val="Times New Roman"/>
        <family val="1"/>
        <charset val="204"/>
      </rPr>
      <t>(КВР 240)</t>
    </r>
  </si>
  <si>
    <r>
      <t>Источник финансового обеспечения _</t>
    </r>
    <r>
      <rPr>
        <u/>
        <sz val="12"/>
        <color indexed="8"/>
        <rFont val="Times New Roman"/>
        <family val="1"/>
        <charset val="204"/>
      </rPr>
      <t>_Субсидии на выполнение государственного (муниципального) задания__(КВФО 4)</t>
    </r>
  </si>
  <si>
    <t>(статья 244 - 340 - 1123 - 0716)</t>
  </si>
  <si>
    <t>(статья 244 - 340 - 1123 - 2000)</t>
  </si>
  <si>
    <t>Огнетушитель</t>
  </si>
  <si>
    <t>(статья 244 - 340 - 1123 - 0713)</t>
  </si>
  <si>
    <t>Ремонт принтера</t>
  </si>
  <si>
    <t>Журналы</t>
  </si>
  <si>
    <t>Чистящие средства</t>
  </si>
  <si>
    <t>Моющие средства</t>
  </si>
  <si>
    <t>Перчатки резиновые</t>
  </si>
  <si>
    <t>(статья 244 - 310 - 1116 - 2000)</t>
  </si>
  <si>
    <r>
      <t>Код видов расходов __</t>
    </r>
    <r>
      <rPr>
        <u/>
        <sz val="12"/>
        <color indexed="8"/>
        <rFont val="Times New Roman"/>
        <family val="1"/>
        <charset val="204"/>
      </rPr>
      <t>Иные закупки товаров, работ и услуг для государственных нужд</t>
    </r>
    <r>
      <rPr>
        <sz val="12"/>
        <color indexed="8"/>
        <rFont val="Times New Roman"/>
        <family val="1"/>
        <charset val="204"/>
      </rPr>
      <t>__</t>
    </r>
    <r>
      <rPr>
        <u/>
        <sz val="12"/>
        <color indexed="8"/>
        <rFont val="Times New Roman"/>
        <family val="1"/>
        <charset val="204"/>
      </rPr>
      <t>(КВР 240)</t>
    </r>
    <r>
      <rPr>
        <sz val="12"/>
        <color indexed="8"/>
        <rFont val="Times New Roman"/>
        <family val="1"/>
        <charset val="204"/>
      </rPr>
      <t>__</t>
    </r>
  </si>
  <si>
    <t>Доп КР 2000 Субсидии муниципальным учреждениям на финансовое обеспечение муниципального задания на оказание муниципальных услуг (выполнение работ)</t>
  </si>
  <si>
    <t>Доп КР 2002 Остатки субсидии прошлых лет на финансовое обеспечение муниципального задания</t>
  </si>
  <si>
    <t>Вего:</t>
  </si>
  <si>
    <t>Мячи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</si>
  <si>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</si>
  <si>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</si>
  <si>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</si>
  <si>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</si>
  <si>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 29 декабря_ 2017 г.</t>
  </si>
  <si>
    <t xml:space="preserve">1.1. Расчеты (обоснования) расходов на оплату труда статья   111-211-0000-2000                                          </t>
  </si>
  <si>
    <t>на 2018 год</t>
  </si>
  <si>
    <t>Настольный теннис Забайкальский край проезд</t>
  </si>
  <si>
    <t>Настольный теннис Забайкальский край проживание</t>
  </si>
  <si>
    <t>Проживание на Спартакиаде школьников по пулевой стрельбе</t>
  </si>
  <si>
    <t>Проживание на соревнованиях пулевой стрельбе</t>
  </si>
  <si>
    <t>Проезд в г.Алдане на лично-командном Первенстве по лыжным гонкам</t>
  </si>
  <si>
    <t>Проживание в г.Алдане на лыжным гонкам</t>
  </si>
  <si>
    <t>Проезд в г.Якутске на первенстве РС(Я) по мини-футболу</t>
  </si>
  <si>
    <t>Проезд в Республиканский турнир по художественной гимнастике</t>
  </si>
  <si>
    <t>Проживание в Республиканский турнир по художественной гимнастике</t>
  </si>
  <si>
    <t xml:space="preserve">Суточные на Первенстве РС(Я) по баскетболу </t>
  </si>
  <si>
    <t>Суточные пгт.Прогресс, Первенство Амурской области по баскетболу</t>
  </si>
  <si>
    <t>Суточные в Республиканский турнир по художественной гимнастике</t>
  </si>
  <si>
    <t>Суточные  на лично-командном Первенстве по лыжным гонкам</t>
  </si>
  <si>
    <t>Суточные в г.Алдане на лично-командном Первенстве по лыжным гонкам</t>
  </si>
  <si>
    <t>Суточные на Спартакиаде РС(Я)по легкой атлетике</t>
  </si>
  <si>
    <t>Суточные на Первенстве РС(Я) по теннису</t>
  </si>
  <si>
    <t>Суточные на соревнованиях (Забайкальский край) по теннису</t>
  </si>
  <si>
    <t>Суточные на Спартакиаде школьников РС(Я)</t>
  </si>
  <si>
    <t>Суточные в г.Якутске на первенстве РС(Я) по мини-футболу</t>
  </si>
  <si>
    <t>ИТОГО:</t>
  </si>
  <si>
    <t>Суточные на Первенстве РС(Я) по пулевой стрельбе</t>
  </si>
  <si>
    <t>Суточные в г.Ангарск на первенство по Хоккею с шайбой</t>
  </si>
  <si>
    <t>Бородай Е.С.</t>
  </si>
  <si>
    <t>Бородай В.М.</t>
  </si>
  <si>
    <t>Браташова Н.</t>
  </si>
  <si>
    <t>Гапоненко Н.</t>
  </si>
  <si>
    <t>Докторов С.Д.</t>
  </si>
  <si>
    <t>Жукова И.Н.</t>
  </si>
  <si>
    <t>Казакова Э.А.</t>
  </si>
  <si>
    <t>Кривошеева Л.</t>
  </si>
  <si>
    <t>Могильная В.</t>
  </si>
  <si>
    <t>Онищенко А.</t>
  </si>
  <si>
    <t>Курат С.Х.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</si>
  <si>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</si>
  <si>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</si>
  <si>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</si>
  <si>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</si>
  <si>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</si>
  <si>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</si>
  <si>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</si>
  <si>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</si>
  <si>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</si>
  <si>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</si>
  <si>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</si>
  <si>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</si>
  <si>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</si>
  <si>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</si>
  <si>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</si>
  <si>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</si>
  <si>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</si>
  <si>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</si>
  <si>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</si>
  <si>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</si>
  <si>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</si>
  <si>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</si>
  <si>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</si>
  <si>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</si>
  <si>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</si>
  <si>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</si>
  <si>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</si>
  <si>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</si>
  <si>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</si>
  <si>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</si>
  <si>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</si>
  <si>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</si>
  <si>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</si>
  <si>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</si>
  <si>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</si>
  <si>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</si>
  <si>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</si>
  <si>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</si>
  <si>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</si>
  <si>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</si>
  <si>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</si>
  <si>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</si>
  <si>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</si>
  <si>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</si>
  <si>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</si>
  <si>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</si>
  <si>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</si>
  <si>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</si>
  <si>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</si>
  <si>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</si>
  <si>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</si>
  <si>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</si>
  <si>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</si>
  <si>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</si>
  <si>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</si>
  <si>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</si>
  <si>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</si>
  <si>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</si>
  <si>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</si>
  <si>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</si>
  <si>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</si>
  <si>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</si>
  <si>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</si>
  <si>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</si>
  <si>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</si>
  <si>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</si>
  <si>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</si>
  <si>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</si>
  <si>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</si>
  <si>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</si>
  <si>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</si>
  <si>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</si>
  <si>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</si>
  <si>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</si>
  <si>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</si>
  <si>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</si>
  <si>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</si>
  <si>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</si>
  <si>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</si>
  <si>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</si>
  <si>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</si>
  <si>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</si>
  <si>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</si>
  <si>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</si>
  <si>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</si>
  <si>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</si>
  <si>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</si>
  <si>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</si>
  <si>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</si>
  <si>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</si>
  <si>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</si>
  <si>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</si>
  <si>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</si>
  <si>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</si>
  <si>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</si>
  <si>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</si>
  <si>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</si>
  <si>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</si>
  <si>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</si>
  <si>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</si>
  <si>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</si>
  <si>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</si>
  <si>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</si>
  <si>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</si>
  <si>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</si>
  <si>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</si>
  <si>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</si>
  <si>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</si>
  <si>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</si>
  <si>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</si>
  <si>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</si>
  <si>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</si>
  <si>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</si>
  <si>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</si>
  <si>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</si>
  <si>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</si>
  <si>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</si>
  <si>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</si>
  <si>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</si>
  <si>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</si>
  <si>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</si>
  <si>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</si>
  <si>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</si>
  <si>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</si>
  <si>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</si>
  <si>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</si>
  <si>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</si>
  <si>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</si>
  <si>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</si>
  <si>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</si>
  <si>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</si>
  <si>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</si>
  <si>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</si>
  <si>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</si>
  <si>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</si>
  <si>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</si>
  <si>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</si>
  <si>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</si>
  <si>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</si>
  <si>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</si>
  <si>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</si>
  <si>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</si>
  <si>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</si>
  <si>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</si>
  <si>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</si>
  <si>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</si>
  <si>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</si>
  <si>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</si>
  <si>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</si>
  <si>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</si>
  <si>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</si>
  <si>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</si>
  <si>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</si>
  <si>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</si>
  <si>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</si>
  <si>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</si>
  <si>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</si>
  <si>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</si>
  <si>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</si>
  <si>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</si>
  <si>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</si>
  <si>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</si>
  <si>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</si>
  <si>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</si>
  <si>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</si>
  <si>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</si>
  <si>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</si>
  <si>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</si>
  <si>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</si>
  <si>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</si>
  <si>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</si>
  <si>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</si>
  <si>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</si>
  <si>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</si>
  <si>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</si>
  <si>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</si>
  <si>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</si>
  <si>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</si>
  <si>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</si>
  <si>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</si>
  <si>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</si>
  <si>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</si>
  <si>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</si>
  <si>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</si>
  <si>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</si>
  <si>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</si>
  <si>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</si>
  <si>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</si>
  <si>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</si>
  <si>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</si>
  <si>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</si>
  <si>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</si>
  <si>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</si>
  <si>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</si>
  <si>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</si>
  <si>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</si>
  <si>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</si>
  <si>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</si>
  <si>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</si>
  <si>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</si>
  <si>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</si>
  <si>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</si>
  <si>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</si>
  <si>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</si>
  <si>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</si>
  <si>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</si>
  <si>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</si>
  <si>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</si>
  <si>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</si>
  <si>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</si>
  <si>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</si>
  <si>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</si>
  <si>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</si>
  <si>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</si>
  <si>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</si>
  <si>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</si>
  <si>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</si>
  <si>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</si>
  <si>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</si>
  <si>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</si>
  <si>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</si>
  <si>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</si>
  <si>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</si>
  <si>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</si>
  <si>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</si>
  <si>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</si>
  <si>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</si>
  <si>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</si>
  <si>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</si>
  <si>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</si>
  <si>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</si>
  <si>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</si>
  <si>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</si>
  <si>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</si>
  <si>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</si>
  <si>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</si>
  <si>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</si>
  <si>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</si>
  <si>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</si>
  <si>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</si>
  <si>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</si>
  <si>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</si>
  <si>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</si>
  <si>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</si>
  <si>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</si>
  <si>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</si>
  <si>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</si>
  <si>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</si>
  <si>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</si>
  <si>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</si>
  <si>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</si>
  <si>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</si>
  <si>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</si>
  <si>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</si>
  <si>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</si>
  <si>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</si>
  <si>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</si>
  <si>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</si>
  <si>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>Приложение № 3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</si>
  <si>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</si>
  <si>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</si>
  <si>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</si>
  <si>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</si>
  <si>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Районный коэффициент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</si>
  <si>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</si>
  <si>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</si>
  <si>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</si>
  <si>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</si>
  <si>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</si>
  <si>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</si>
  <si>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</si>
  <si>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</si>
  <si>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</si>
  <si>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</si>
  <si>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</si>
  <si>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x гр. 4 x гр. 5)</t>
  </si>
  <si>
    <t>1.2. Расчеты (обоснования) выплат персоналу при направлении</t>
  </si>
  <si>
    <t>в служебные командировки</t>
  </si>
  <si>
    <t>Код видов расходов ________________________________________________________</t>
  </si>
  <si>
    <t>Источник финансового обеспечения __________________________________________</t>
  </si>
  <si>
    <t xml:space="preserve">          1. Расчеты (обоснования) выплат персоналу (строка 210)</t>
  </si>
  <si>
    <t>Расчеты (обоснования)</t>
  </si>
  <si>
    <t>к плану финансово-хозяйственной деятельности</t>
  </si>
  <si>
    <t>муниципального учреждения</t>
  </si>
  <si>
    <t>к Порядку составления и утверждения</t>
  </si>
  <si>
    <t>плана финансово-хозяйственной</t>
  </si>
  <si>
    <t>деятельности муниципального</t>
  </si>
  <si>
    <t xml:space="preserve"> учреждения Нерюнгринского района,</t>
  </si>
  <si>
    <t>утвержденному постановлением</t>
  </si>
  <si>
    <t>Нерюнгринской районной</t>
  </si>
  <si>
    <t>администрации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</si>
  <si>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</si>
  <si>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</si>
  <si>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</si>
  <si>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 Расчеты (обоснования) выплат персоналу по уходу</t>
  </si>
  <si>
    <t>за ребенком</t>
  </si>
  <si>
    <t>1.4. Расчеты (обоснования) страховых взносов на обязательное</t>
  </si>
  <si>
    <t>страхование в Пенсионный фонд Российской Федерации, в Фонд</t>
  </si>
  <si>
    <t>социального страхования Российской Федерации, в Федеральный</t>
  </si>
  <si>
    <t>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</si>
  <si>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</si>
  <si>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</si>
  <si>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</si>
  <si>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</si>
  <si>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</si>
  <si>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</si>
  <si>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</si>
  <si>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</si>
  <si>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</si>
  <si>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</si>
  <si>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</si>
  <si>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</si>
  <si>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</si>
  <si>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</si>
  <si>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</si>
  <si>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</si>
  <si>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</si>
  <si>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</si>
  <si>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</si>
  <si>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в том числе:                                                                      по ставке 22,0%</t>
  </si>
  <si>
    <t>в том числе                                                       обязательное социальное страхование на случай временной нетрудоспособности и в связи с материнством по ставке 2,9%</t>
  </si>
  <si>
    <t xml:space="preserve">    --------------------------------</t>
  </si>
  <si>
    <t xml:space="preserve">    &lt;*&gt;   Указываются   страховые  тарифы,  дифференцированные  по  классам</t>
  </si>
  <si>
    <t>профессионального  риска,  установленные  Федеральным законом от 22 декабря</t>
  </si>
  <si>
    <t>2005   г.    N  179-ФЗ  "О  страховых  тарифах  на  обязательное социальное</t>
  </si>
  <si>
    <t>страхование  от  несчастных  случаев  на  производстве  и  профессиональных</t>
  </si>
  <si>
    <t>заболеваний  на  2006 год" (Собрание законодательства Российской Федерации,</t>
  </si>
  <si>
    <t>2005, N 52, ст. 5592; 2015, N 51, ст. 7233).</t>
  </si>
  <si>
    <t>2. Расчеты (обоснования) расходов на социальные и иные</t>
  </si>
  <si>
    <t>выплаты населению</t>
  </si>
  <si>
    <t>Размер одной выплаты, руб.</t>
  </si>
  <si>
    <t>Количество выплат в год</t>
  </si>
  <si>
    <t>Общая сумма выплат, руб. (гр. 3 x гр.4)</t>
  </si>
  <si>
    <t>4. Расчет (обоснование) расходов на безвозмездные</t>
  </si>
  <si>
    <t>перечисления организациям</t>
  </si>
  <si>
    <t>Общая сумма выплат, руб. (гр. 3 x гр. 4)</t>
  </si>
  <si>
    <t>3. Расчет (обоснование) расходов на уплату налогов,</t>
  </si>
  <si>
    <t>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</si>
  <si>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</si>
  <si>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</si>
  <si>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</si>
  <si>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5. Расчет (обоснование) прочих расходов (кроме расходов</t>
  </si>
  <si>
    <t>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</si>
  <si>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</si>
  <si>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</si>
  <si>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</si>
  <si>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</si>
  <si>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</si>
  <si>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</si>
  <si>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</si>
  <si>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Сумма, руб. (гр. 3 x гр. 4)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</si>
  <si>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</si>
  <si>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</si>
  <si>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</si>
  <si>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</si>
  <si>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Сумма, руб. гр. 4 x гр. 5 x гр. 6)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</si>
  <si>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</si>
  <si>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</si>
  <si>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</si>
  <si>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</si>
  <si>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>6.5. Расчет (обоснование)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</si>
  <si>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</si>
  <si>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</si>
  <si>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</si>
  <si>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</si>
  <si>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6.6. Расчет (обоснование) расходов на оплату прочих работ, услуг</t>
  </si>
  <si>
    <t>Количество договоров</t>
  </si>
  <si>
    <t>Стоимость услуги, руб.</t>
  </si>
  <si>
    <t>6.7. Расчет (обоснование) расходов на приобретение основных</t>
  </si>
  <si>
    <t>средств, материальных запасов</t>
  </si>
  <si>
    <t>Средняя стоимость, руб.</t>
  </si>
  <si>
    <t>Сумма, руб. (гр. 2 x гр. 3)</t>
  </si>
  <si>
    <t xml:space="preserve"> 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</si>
  <si>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</si>
  <si>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</si>
  <si>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</si>
  <si>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</si>
  <si>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</si>
  <si>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</si>
  <si>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</si>
  <si>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</si>
  <si>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</si>
  <si>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</si>
  <si>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</si>
  <si>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</si>
  <si>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</si>
  <si>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</si>
  <si>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</si>
  <si>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</si>
  <si>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</si>
  <si>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от 14.12.2016 № 1806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</si>
  <si>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</si>
  <si>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</si>
  <si>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</si>
  <si>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</si>
  <si>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</si>
  <si>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</si>
  <si>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</si>
  <si>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</si>
  <si>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</si>
  <si>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</si>
  <si>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</si>
  <si>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</si>
  <si>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</si>
  <si>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</si>
  <si>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</si>
  <si>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</si>
  <si>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</si>
  <si>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</si>
  <si>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</si>
  <si>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</si>
  <si>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</si>
  <si>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</si>
  <si>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</si>
  <si>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</si>
  <si>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</si>
  <si>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</si>
  <si>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</si>
  <si>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</si>
  <si>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</si>
  <si>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</si>
  <si>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</si>
  <si>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</si>
  <si>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</si>
  <si>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</si>
  <si>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</si>
  <si>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</si>
  <si>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</si>
  <si>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</si>
  <si>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</si>
  <si>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</si>
  <si>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</si>
  <si>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</si>
  <si>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</si>
  <si>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</si>
  <si>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</si>
  <si>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</si>
  <si>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</si>
  <si>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</si>
  <si>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</si>
  <si>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</si>
  <si>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</si>
  <si>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</si>
  <si>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</si>
  <si>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</si>
  <si>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</si>
  <si>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</si>
  <si>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</si>
  <si>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</si>
  <si>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</si>
  <si>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</si>
  <si>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</si>
  <si>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</si>
  <si>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</si>
  <si>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</si>
  <si>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</si>
  <si>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</si>
  <si>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</si>
  <si>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</si>
  <si>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</si>
  <si>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</si>
  <si>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</si>
  <si>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</si>
  <si>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</si>
  <si>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</si>
  <si>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</si>
  <si>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</si>
  <si>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</si>
  <si>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</si>
  <si>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</si>
  <si>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</si>
  <si>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</si>
  <si>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</si>
  <si>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 xml:space="preserve">                                                                                                              "____" ______________ 20__ г.         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</si>
  <si>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</si>
  <si>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</si>
  <si>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</si>
  <si>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</si>
  <si>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</si>
  <si>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</si>
  <si>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</si>
  <si>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</si>
  <si>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</si>
  <si>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</si>
  <si>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</si>
  <si>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</si>
  <si>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</si>
  <si>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</si>
  <si>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</si>
  <si>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</si>
  <si>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</si>
  <si>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</si>
  <si>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Субсидии на укрепление МТБ учреждений образования за счет средств благотворительной помощи  (ДопКР 2120)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</si>
  <si>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</si>
  <si>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</si>
  <si>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</si>
  <si>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Панаева И.А. 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4 -12-74</t>
    </r>
    <r>
      <rPr>
        <sz val="12"/>
        <color indexed="8"/>
        <rFont val="Times New Roman"/>
        <family val="1"/>
        <charset val="204"/>
      </rPr>
      <t>_</t>
    </r>
  </si>
  <si>
    <t xml:space="preserve">            средства подлежащие возврату в бюджет:</t>
  </si>
  <si>
    <r>
      <t>Источник финансового обеспечения _</t>
    </r>
    <r>
      <rPr>
        <u/>
        <sz val="12"/>
        <color indexed="8"/>
        <rFont val="Times New Roman"/>
        <family val="1"/>
        <charset val="204"/>
      </rPr>
      <t>_Субсидии на выполнение государственного (муниципального) задания__(КВФО 4)___</t>
    </r>
    <r>
      <rPr>
        <sz val="12"/>
        <color indexed="8"/>
        <rFont val="Times New Roman"/>
        <family val="1"/>
        <charset val="204"/>
      </rPr>
      <t>___________________________________</t>
    </r>
  </si>
  <si>
    <t>6.1. Расчет (обоснование) расходов на оплату услуг связи КОСГУ 221</t>
  </si>
  <si>
    <t>6.1.1.  Расчет (обоснование) расходов на оплату услуг связи (статья 221 - 0000 - 2000)</t>
  </si>
  <si>
    <t>6.1.2.  Расчет (обоснование) расходов на оплату услуг интернета (статья 221 - 1102 - 2000)</t>
  </si>
  <si>
    <t>Администратимно управленческий персонал</t>
  </si>
  <si>
    <t>Руководители структурных подразделений</t>
  </si>
  <si>
    <t>Фонд оплаты труда в год, руб. (гр. 3 x гр. 4 x (1 + гр. 8 / 100) + гр. 9 x 12)</t>
  </si>
  <si>
    <t>Общеотраслевые служащие</t>
  </si>
  <si>
    <t>Общеотраслевые рабочие</t>
  </si>
  <si>
    <t>Педагогические работники</t>
  </si>
  <si>
    <t>Работники культуры</t>
  </si>
  <si>
    <t xml:space="preserve"> Медицинский персонал</t>
  </si>
  <si>
    <t>Ежемесячная надбавка к должностному окладу, % (веверные надбавки)</t>
  </si>
  <si>
    <t>статья 213-0000-2000 и статья 213-0000-2002</t>
  </si>
  <si>
    <r>
      <t>Код видов расходов __</t>
    </r>
    <r>
      <rPr>
        <u/>
        <sz val="12"/>
        <color indexed="8"/>
        <rFont val="Times New Roman"/>
        <family val="1"/>
        <charset val="204"/>
      </rPr>
      <t>Выплаты персоналу</t>
    </r>
    <r>
      <rPr>
        <sz val="12"/>
        <color indexed="8"/>
        <rFont val="Times New Roman"/>
        <family val="1"/>
        <charset val="204"/>
      </rPr>
      <t>__</t>
    </r>
    <r>
      <rPr>
        <u/>
        <sz val="12"/>
        <color indexed="8"/>
        <rFont val="Times New Roman"/>
        <family val="1"/>
        <charset val="204"/>
      </rPr>
      <t>(КВР 110)</t>
    </r>
    <r>
      <rPr>
        <sz val="12"/>
        <color indexed="8"/>
        <rFont val="Times New Roman"/>
        <family val="1"/>
        <charset val="204"/>
      </rPr>
      <t>________________________</t>
    </r>
  </si>
  <si>
    <t>1.2.1. Расчеты (обоснования) выплат персоналу на командировочные расходы (в части проезда и проживания)  (статья 112-212-1104-2108)</t>
  </si>
  <si>
    <t xml:space="preserve">Количество дней </t>
  </si>
  <si>
    <t>Проезд пгт.Прогресс, Первенство Амурской области по баскетболу</t>
  </si>
  <si>
    <t xml:space="preserve">Проживание на Первенстве РС(Я) по баскетболу </t>
  </si>
  <si>
    <t>Проживание Первенстве Амурской области по баскетболу</t>
  </si>
  <si>
    <t>Проживание Первенство РС(Я) по волейболу</t>
  </si>
  <si>
    <t>Проживание на Первенстве РС(Я) по волейболу</t>
  </si>
  <si>
    <t>Проживание на Первенстве РС(Я) по теннису</t>
  </si>
  <si>
    <t>Проживание на Спартакиаде школьников РС(Я)</t>
  </si>
  <si>
    <t>Проживание на Первенстве РС(Я) по пулевой стрельбе</t>
  </si>
  <si>
    <t xml:space="preserve">Проживание на Первенстве РС(Я) по легкой атлетике </t>
  </si>
  <si>
    <t>Проживание на Спартакиаде РС(Я)по легкой атлетике</t>
  </si>
  <si>
    <t>Проживание в г.Алдане на лично-командном Первенстве по лыжным гонкам</t>
  </si>
  <si>
    <t>Проживание в г.Якутске на первенстве РС(Я) по мини-футболу</t>
  </si>
  <si>
    <t>Проезд в г.Ангарск на первенство по Хоккею с шайбой</t>
  </si>
  <si>
    <t>Проживание на первенстве по Хоккею с шайбой</t>
  </si>
  <si>
    <t>1.2.2. Расчеты (обоснования) выплат персоналу на суточные при служебных командировках (статья 112-212-1152-2108)</t>
  </si>
  <si>
    <t>Суточные на Первенстве РС(Я) по волейболу</t>
  </si>
  <si>
    <t xml:space="preserve">Суточные на Первенстве РС(Я) по легкой атлетике </t>
  </si>
  <si>
    <t>Проезд на турнир в Забайкальском крае по теннису</t>
  </si>
  <si>
    <t>Проживание на турнире в Забайкальском крае по теннису</t>
  </si>
  <si>
    <t>Питание обучающихся на турнире в Забайкальском крае по теннису</t>
  </si>
  <si>
    <t>Проживание на Спартакиаде  по пулевой стрельбе</t>
  </si>
  <si>
    <t>Питание обучающихся на Спартакиаде по пулевой стрельбе</t>
  </si>
  <si>
    <t>Проезд обучающихся на лично-командном Первенстве по лыжным гонкам</t>
  </si>
  <si>
    <t>Проживание на Первенстве по лыжным гонкам на Республиканском этапе первенства РС(Я)</t>
  </si>
  <si>
    <t>Проезд в г.Якутске на Републиканском турнире по художественной гимнастике</t>
  </si>
  <si>
    <t>Проживание в г.Якутске на Републиканском турнире по художественной гимнастике</t>
  </si>
  <si>
    <t>Питание обучающихся в г.Якутске на Републиканском турнире по художественной гимнастике</t>
  </si>
  <si>
    <t>Проживание в г.Томоте на первенстве РС(Я) по мини-футболу</t>
  </si>
  <si>
    <t>Проезд в г.Томоте на первенстве РС(Я) по мини-футболу</t>
  </si>
  <si>
    <t>Проживание на первенстве по Хоккею с шайбой в г.Хабаровске</t>
  </si>
  <si>
    <t>Проезд в г.Хабаровск на первенство по Хоккею с шайбой (апрель, декабрь)</t>
  </si>
  <si>
    <t>Телематические услуги (интернет)  ООО "Апельсин" Дог. №48/ТУС от 01.01.18.</t>
  </si>
  <si>
    <t>Услуги связи ПАО Ростелеком, (дог. 714000004490 от 15.01.18.)</t>
  </si>
  <si>
    <t>Оплата услуг отопления  1-е полуг 2018г (Дог№140 от 13.11.17. на возмещение эксплуатационных услуг МБУК "ЦК и Д им.А.С.Пушкина)</t>
  </si>
  <si>
    <t>Оплата услуг отопления  2-е полуг 2018г  (Дог№140 от 13.11.17. на возмещение эксплуатационных услуг МБУК "ЦК и Д им.А.С.Пушкина)</t>
  </si>
  <si>
    <t xml:space="preserve">Возмещение МБУК "ЦКиД им. А.С.Пушкина"(Дог№140 от 13.11.17. на возмещение эксплуатационных услуг МБУК "ЦК и Д им.А.С.Пушкина) </t>
  </si>
  <si>
    <t xml:space="preserve">Возмещение МБУК "ЦКиД им. А.С.Пушкина" (вывоз КГО и ТБО) (Дог№140 от 13.11.17. на возмещение эксплуатационных услуг МБУК "ЦК и Д им.А.С.Пушкина) </t>
  </si>
  <si>
    <t xml:space="preserve">Возмещение МБУК "ЦКиД им. А.С.Пушкина" (переработка КГО и ТБО) (Дог№140 от 13.11.17. на возмещение эксплуатационных услуг МБУК "ЦК и Д им.А.С.Пушкина) </t>
  </si>
  <si>
    <t>Дератизация, дезинсекция (договор №147 от 09.01.18. ФБУЗ "Центр гигиены и эпидемиологии в РС(Я))</t>
  </si>
  <si>
    <t>Стирка ковров</t>
  </si>
  <si>
    <t xml:space="preserve">Возмещение МБУК "ЦКиД им. А.С.Пушкина" (техническое обслуживание пожарной сигнализации) (Дог№140 от 13.11.17. на возмещение эксплуатационных услуг МБУК "ЦК и Д им.А.С.Пушкина)  </t>
  </si>
  <si>
    <t xml:space="preserve">Возмещение МБУК "ЦКиД им. А.С.Пушкина" (Техническое обслуживание приборов учета тепла  и ТО АИТП).(Дог№140 от 13.11.17. на возмещение эксплуатационных услуг МБУК "ЦК и Д им.А.С.Пушкина) </t>
  </si>
  <si>
    <t>Техническое обслуживание АПС и РО (ООО "Спецмонтажавтоматика", дог. №ТО-18-090 от 01.01.18.)</t>
  </si>
  <si>
    <t>Техническое обслуживание ТСО (ФГУП "Охрана" Росгвардии по РС(Я), дог. №2/91-18 от 01.01.18.)</t>
  </si>
  <si>
    <t xml:space="preserve"> надо двигать на возмещение ДК за фотон с 225-1111 и 34,32 на возмещение пож сигн</t>
  </si>
  <si>
    <t>ВСЕГО:</t>
  </si>
  <si>
    <t>статья 244 - 226 - 1140 - 2002 (Остатки субсидии прошлых лет на финансовое обеспечение муниципального задания)</t>
  </si>
  <si>
    <t xml:space="preserve">статья 244 - 226 - 1139 - 2002 (Остатки субсидии прошлых лет на финансовое обеспечение муниципального задания) </t>
  </si>
  <si>
    <t>Фонд оплаты труда в год, руб. (гр. 3 x гр. 4 x (1 + гр. 8 / 100) + гр. 9 x 12)                         2019 год</t>
  </si>
  <si>
    <t>Фонд оплаты труда в год, руб. (гр. 3 x гр. 4 x (1 + гр. 8 / 100) + гр. 9 x 12)                         2020 год</t>
  </si>
  <si>
    <t>на плановый период 2019 год</t>
  </si>
  <si>
    <t>на плановый период 2020 год</t>
  </si>
  <si>
    <t>Размер базы для начисления страховых взносов, руб., 2019 год</t>
  </si>
  <si>
    <t>Размер базы для начисления страховых взносов, руб., 2020 год</t>
  </si>
  <si>
    <t>Сумма взноса, руб., 2020 год</t>
  </si>
  <si>
    <t>Сумма, руб. (гр. 3 x гр. 4 x гр. 5), 2019</t>
  </si>
  <si>
    <t>1.6. Расчеты (обоснования) выплат на возмещение (компенсация) расходов для участия в мероприятиях (соревнования, олимпиады и др.) физическим лицам, не являющимся работниками учреждения 2019 год</t>
  </si>
  <si>
    <t>1.6. Расчеты (обоснования) выплат на возмещение (компенсация) расходов для участия в мероприятиях (соревнования, олимпиады и др.) физическим лицам, не являющимся работниками учреждения 2020 год</t>
  </si>
  <si>
    <t>Сумма исчисленного налога, подлежащего уплате, руб. (гр. 3 x гр. 4 / 100), 2020 год</t>
  </si>
  <si>
    <t>Сумма, руб. (гр. 3 x гр. 4 x гр. 5), 2020 год</t>
  </si>
  <si>
    <t>Сумма, руб. (гр. 3 x гр. 4), 2020год</t>
  </si>
  <si>
    <t>Сумма, руб. гр. 4 x гр. 5 x гр. 6), 2020 год</t>
  </si>
  <si>
    <t xml:space="preserve">Оплата услуг отопления  1-е полуг  </t>
  </si>
  <si>
    <t xml:space="preserve">Оплата услуг отопления  2-е полуг </t>
  </si>
  <si>
    <t xml:space="preserve">Оплата услуг предоставления электроэнергии 1-е  </t>
  </si>
  <si>
    <t xml:space="preserve">Оплата услуг предоставления электроэнергии 2-е полуг </t>
  </si>
  <si>
    <t xml:space="preserve">Оплата услуг горячего и холодного водоснабжения 1-е полуг  </t>
  </si>
  <si>
    <t>Оплата услуг горячего и холодного водоснабженияводы 2-е</t>
  </si>
  <si>
    <t xml:space="preserve">Оплата услуг канализации,ассенизации, водоотведения 1-е полуг  </t>
  </si>
  <si>
    <t xml:space="preserve">Оплата услуг канализации,ассенизации, водоотведения 2 -е полуг </t>
  </si>
  <si>
    <t>Сумма, руб. гр. 4 x гр. 5 x гр. 6), 2020</t>
  </si>
  <si>
    <t>Стоимость работ (услуг), руб., 2020 год</t>
  </si>
  <si>
    <t>Стоимость услуги, руб., 2020 год</t>
  </si>
  <si>
    <t>(статья 244 - 226 - 1134 - 2000 и статья 244 - 226 - 1134 - 2005)</t>
  </si>
  <si>
    <t>Всего:</t>
  </si>
  <si>
    <t>Сумма, руб. (гр. 3 x гр. 4 x гр. 5), 2020год</t>
  </si>
  <si>
    <t>в 2019 год</t>
  </si>
  <si>
    <t>в 2020  год</t>
  </si>
  <si>
    <t xml:space="preserve">Телематические услуги (интернет)  ООО "Апельсин" </t>
  </si>
  <si>
    <t xml:space="preserve">Услуги связи Ростелеком, </t>
  </si>
  <si>
    <t>6.6.5. Расчет (обоснование) расходов на оплату за обучение на курсах повышения квалификации, подготовки и переподготовки специалистов (статья 244 - 226 - 1139 - 2000)</t>
  </si>
  <si>
    <t>6.6.3. Расчет (обоснование) расходов на  закупку товаров, работ, услуг в сфере информационно-коммуникационных технологий (статья 244 - 226 - 1136 - 2000)</t>
  </si>
  <si>
    <t>851.291.1143</t>
  </si>
  <si>
    <t>(статья 851 - 291 - 1143 - 2102)</t>
  </si>
  <si>
    <t>(статья 113-296-1150-2108)</t>
  </si>
  <si>
    <t>Субсидия на увеличение МРОТ работников (за счет средств ГБ)  (ДопКР 2135)</t>
  </si>
  <si>
    <t xml:space="preserve">1.1. Расчеты (обоснования) расходов на оплату труда статья   111-211-0000-2135                                        </t>
  </si>
  <si>
    <t>Работы по замене двери помещения КХО (ИП Матяш А.А.) (статья 244-225-1105-2002)</t>
  </si>
  <si>
    <t>Работы по замене двери помещения КХО (ИП Матяш А.А.)  (статья 244-225-1105-2005)</t>
  </si>
  <si>
    <t>Субсидия на увеличение МРОТ работников (за счет средств МБ)</t>
  </si>
  <si>
    <t>Субсидия на увеличение МРОТ работников (за счет средств МБ) (ДопКР 2136)</t>
  </si>
  <si>
    <t xml:space="preserve">1.1. Расчеты (обоснования) расходов на оплату труда статья   111-211-0000-2136                                        </t>
  </si>
  <si>
    <t>Субсидия на увеличение МРОТ работников (за счет средств ГБ)</t>
  </si>
  <si>
    <t>статья 213-0000-2135 и статья 213-0000-2136</t>
  </si>
  <si>
    <t>Источник финансового обеспечения: Субсидии на иные цели (КВФО 5)</t>
  </si>
  <si>
    <t>Оплата первичного медицинского осмотра при устройстве на работу (статья 112 - 212 - 1124 - 2000)</t>
  </si>
  <si>
    <t>Возмещение  медицинского осмотра на право пользования оружиемсогласно авансового отчета</t>
  </si>
  <si>
    <t>Ростов-на Дону</t>
  </si>
  <si>
    <t>Краснодар</t>
  </si>
  <si>
    <t>Томск</t>
  </si>
  <si>
    <t>Адлер</t>
  </si>
  <si>
    <t>Сочи</t>
  </si>
  <si>
    <t>Москва</t>
  </si>
  <si>
    <t>(статья 244 - 226 - 1134 - 2000)</t>
  </si>
  <si>
    <t>Техническое обслуживание пожарной сигнализации ООО "Спецмонтажавтоматика" (Дог.№ТО-18-090 от 01.01.18.)</t>
  </si>
  <si>
    <t>6.5.2. Расчет (обоснование) расходов на Противопожарные мероприятия (огнезащитная обработка имущества и зарядка огнетушителей) (статья 244 - 225 - 1106 - 2002, 244-225-1106-2005)</t>
  </si>
  <si>
    <t xml:space="preserve">ДопКР 2005 Субсидии муниципальным учреждениям на обеспечение противопожарной и антитеррористической безопасности за счет средств местного бюджета 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</si>
  <si>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</si>
  <si>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</si>
  <si>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t>Охрана объекта ООО "Крепость"</t>
  </si>
  <si>
    <t>Водонагреватели</t>
  </si>
  <si>
    <t>244.296.1148</t>
  </si>
  <si>
    <t>(статья 244 - 340 - 1112 - 2000)</t>
  </si>
  <si>
    <t xml:space="preserve">Краска </t>
  </si>
  <si>
    <t>Строительные материалы (статья 244 - 340 - 1112 - 2000 и статья 244 - 340 - 1112 - 2002 )</t>
  </si>
  <si>
    <t>(статья 244 - 340 - 1112 - 2002)</t>
  </si>
  <si>
    <t>Медикаменты (статья 244 - 340 - 1112 - 2000)</t>
  </si>
  <si>
    <t>Медикаменты</t>
  </si>
  <si>
    <t>Приобретение прочих материальных запасов</t>
  </si>
  <si>
    <t>(статья 244 - 340 - 1123 - 2000, 244 - 340 - 1123 - 2005)</t>
  </si>
  <si>
    <t>(статья 244 - 340 - 1123 - 2005)</t>
  </si>
  <si>
    <t>Стенды по антитеррористической безопности</t>
  </si>
  <si>
    <t>Сопровождение программы по начислению заработной платы</t>
  </si>
  <si>
    <t>Курсы повышения квалификации по противопожарной безопасности</t>
  </si>
  <si>
    <t>(статья 244 - 226 - 1139 - 2000)</t>
  </si>
  <si>
    <t>(статья 244 - 226 - 1139 - 2002)</t>
  </si>
  <si>
    <t>Медали и грамоты</t>
  </si>
  <si>
    <t>(статья 244 - 296 - 1148 - 2000)</t>
  </si>
  <si>
    <t>6.6.7. Приобретение (изготовление) подарочной и сувенирной продукции, не предназначенной для дальнейшей перепродажи</t>
  </si>
  <si>
    <t>Недоимка налога на имущество организации</t>
  </si>
  <si>
    <t>-</t>
  </si>
  <si>
    <t>(статья 851 - 291 - 1143 - 2000)</t>
  </si>
  <si>
    <r>
      <t>Источник финансового обеспечения Субсидии на выполнение государственного (муниципального) задания</t>
    </r>
    <r>
      <rPr>
        <u/>
        <sz val="12"/>
        <color indexed="8"/>
        <rFont val="Times New Roman"/>
        <family val="1"/>
        <charset val="204"/>
      </rPr>
      <t xml:space="preserve">  (КВФО 4)</t>
    </r>
    <r>
      <rPr>
        <sz val="12"/>
        <color indexed="8"/>
        <rFont val="Times New Roman"/>
        <family val="1"/>
        <charset val="204"/>
      </rPr>
      <t>_</t>
    </r>
  </si>
  <si>
    <t>на 2019 год и</t>
  </si>
  <si>
    <t xml:space="preserve"> плановый период 2020-2021 гг</t>
  </si>
  <si>
    <t xml:space="preserve">« ____»  _______________ 201__ г. 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</si>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</sst>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 ;[Red]\-#,##0.00\ "/>
    <numFmt numFmtId="166" formatCode="#,##0.00_ ;\-#,##0.00\ 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22"/>
      <color indexed="10"/>
      <name val="Calibri"/>
      <family val="2"/>
      <charset val="204"/>
    </font>
    <font>
      <b/>
      <sz val="20"/>
      <color indexed="10"/>
      <name val="Calibri"/>
      <family val="2"/>
      <charset val="204"/>
    </font>
    <font>
      <sz val="10"/>
      <color indexed="8"/>
      <name val="Arial Cyr"/>
      <charset val="204"/>
    </font>
    <font>
      <u/>
      <sz val="11"/>
      <color indexed="8"/>
      <name val="Calibri"/>
      <family val="2"/>
      <charset val="204"/>
    </font>
    <font>
      <u/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/>
    <xf numFmtId="164" fontId="22" fillId="0" borderId="0" applyFon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39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39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3" fillId="0" borderId="0" xfId="3" applyFont="1" applyFill="1"/>
    <xf numFmtId="164" fontId="0" fillId="0" borderId="0" xfId="0" applyNumberFormat="1" applyFill="1"/>
    <xf numFmtId="0" fontId="0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/>
    </xf>
    <xf numFmtId="0" fontId="2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3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3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164" fontId="26" fillId="0" borderId="0" xfId="3" applyFont="1" applyFill="1" applyAlignment="1">
      <alignment horizontal="center" vertical="center"/>
    </xf>
    <xf numFmtId="164" fontId="0" fillId="0" borderId="0" xfId="3" applyFont="1" applyFill="1"/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/>
    <xf numFmtId="4" fontId="0" fillId="0" borderId="0" xfId="0" applyNumberFormat="1" applyFill="1" applyAlignment="1">
      <alignment vertical="center"/>
    </xf>
    <xf numFmtId="0" fontId="25" fillId="0" borderId="6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24" fillId="0" borderId="3" xfId="2" applyNumberFormat="1" applyFill="1" applyBorder="1" applyAlignment="1" applyProtection="1">
      <alignment horizontal="center" vertical="center" wrapText="1"/>
      <protection locked="0"/>
    </xf>
    <xf numFmtId="0" fontId="24" fillId="0" borderId="3" xfId="2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66" fontId="25" fillId="0" borderId="1" xfId="3" applyNumberFormat="1" applyFont="1" applyFill="1" applyBorder="1" applyAlignment="1">
      <alignment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3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/>
    <xf numFmtId="0" fontId="0" fillId="0" borderId="6" xfId="0" applyFill="1" applyBorder="1"/>
    <xf numFmtId="4" fontId="15" fillId="0" borderId="0" xfId="0" applyNumberFormat="1" applyFont="1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3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top" wrapText="1"/>
    </xf>
    <xf numFmtId="4" fontId="3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right" vertical="top" wrapText="1"/>
    </xf>
    <xf numFmtId="164" fontId="15" fillId="0" borderId="0" xfId="3" applyFont="1" applyFill="1"/>
    <xf numFmtId="164" fontId="15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Fill="1" applyBorder="1"/>
    <xf numFmtId="166" fontId="28" fillId="0" borderId="1" xfId="3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 applyBorder="1"/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15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center" vertical="center"/>
    </xf>
    <xf numFmtId="164" fontId="0" fillId="0" borderId="0" xfId="3" applyFont="1" applyFill="1" applyBorder="1"/>
    <xf numFmtId="165" fontId="12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6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vertical="center"/>
    </xf>
    <xf numFmtId="4" fontId="44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/>
    </xf>
    <xf numFmtId="0" fontId="27" fillId="0" borderId="3" xfId="0" applyNumberFormat="1" applyFont="1" applyFill="1" applyBorder="1" applyAlignment="1"/>
    <xf numFmtId="2" fontId="27" fillId="0" borderId="1" xfId="0" applyNumberFormat="1" applyFont="1" applyFill="1" applyBorder="1" applyAlignment="1"/>
    <xf numFmtId="166" fontId="28" fillId="0" borderId="3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28" fillId="0" borderId="3" xfId="0" applyNumberFormat="1" applyFont="1" applyFill="1" applyBorder="1" applyAlignment="1">
      <alignment horizontal="right"/>
    </xf>
    <xf numFmtId="0" fontId="28" fillId="0" borderId="3" xfId="0" applyFont="1" applyFill="1" applyBorder="1"/>
    <xf numFmtId="166" fontId="45" fillId="0" borderId="0" xfId="0" applyNumberFormat="1" applyFont="1" applyFill="1"/>
    <xf numFmtId="4" fontId="45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0" fillId="0" borderId="0" xfId="3" applyFont="1" applyFill="1" applyAlignment="1">
      <alignment vertical="center"/>
    </xf>
    <xf numFmtId="164" fontId="1" fillId="0" borderId="1" xfId="3" applyFont="1" applyFill="1" applyBorder="1" applyAlignment="1">
      <alignment horizontal="center" vertical="top" wrapText="1"/>
    </xf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4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82075</xdr:colOff>
      <xdr:row>29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155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160D23074E6765C55EF84811A89119E895463C6394CC40BB38A7EE3CC53AJ" TargetMode="External"/><Relationship Id="rId1" Type="http://schemas.openxmlformats.org/officeDocument/2006/relationships/hyperlink" Target="consultantplus://offline/ref=160D23074E6765C55EF84811A89119E895463C6394CC40BB38A7EE3CC53AJ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consultantplus://offline/ref=160D23074E6765C55EF84811A89119E895463C6394CC40BB38A7EE3CC53AJ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abSelected="1" workbookViewId="0">
      <selection activeCell="F11" sqref="F11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266" t="s">
        <v>563</v>
      </c>
      <c r="B1" s="266"/>
      <c r="C1" s="266"/>
      <c r="D1" s="266"/>
    </row>
    <row r="2" spans="1:4" x14ac:dyDescent="0.25">
      <c r="A2" s="266" t="s">
        <v>655</v>
      </c>
      <c r="B2" s="266"/>
      <c r="C2" s="266"/>
      <c r="D2" s="266"/>
    </row>
    <row r="3" spans="1:4" x14ac:dyDescent="0.25">
      <c r="A3" s="266" t="s">
        <v>654</v>
      </c>
      <c r="B3" s="266"/>
      <c r="C3" s="266"/>
      <c r="D3" s="266"/>
    </row>
    <row r="4" spans="1:4" x14ac:dyDescent="0.25">
      <c r="A4" s="266" t="s">
        <v>653</v>
      </c>
      <c r="B4" s="266"/>
      <c r="C4" s="266"/>
      <c r="D4" s="266"/>
    </row>
    <row r="5" spans="1:4" ht="25.15" customHeight="1" x14ac:dyDescent="0.25"/>
    <row r="6" spans="1:4" ht="15.75" x14ac:dyDescent="0.25">
      <c r="A6" s="270" t="s">
        <v>562</v>
      </c>
      <c r="B6" s="270"/>
      <c r="C6" s="270"/>
      <c r="D6" s="270"/>
    </row>
    <row r="7" spans="1:4" ht="16.149999999999999" customHeight="1" x14ac:dyDescent="0.25">
      <c r="A7" s="274" t="s">
        <v>637</v>
      </c>
      <c r="B7" s="274"/>
      <c r="C7" s="274"/>
      <c r="D7" s="274"/>
    </row>
    <row r="8" spans="1:4" ht="14.1" customHeight="1" x14ac:dyDescent="0.25">
      <c r="A8" s="266" t="s">
        <v>561</v>
      </c>
      <c r="B8" s="266"/>
      <c r="C8" s="266"/>
      <c r="D8" s="266"/>
    </row>
    <row r="9" spans="1:4" ht="14.1" customHeight="1" x14ac:dyDescent="0.25">
      <c r="A9" s="266" t="s">
        <v>560</v>
      </c>
      <c r="B9" s="266"/>
      <c r="C9" s="266"/>
      <c r="D9" s="266"/>
    </row>
    <row r="10" spans="1:4" ht="18.600000000000001" customHeight="1" x14ac:dyDescent="0.25">
      <c r="A10" s="274" t="s">
        <v>652</v>
      </c>
      <c r="B10" s="274"/>
      <c r="C10" s="274"/>
      <c r="D10" s="274"/>
    </row>
    <row r="11" spans="1:4" ht="14.1" customHeight="1" x14ac:dyDescent="0.25">
      <c r="A11" s="266" t="s">
        <v>559</v>
      </c>
      <c r="B11" s="266"/>
      <c r="C11" s="266"/>
      <c r="D11" s="266"/>
    </row>
    <row r="12" spans="1:4" ht="19.149999999999999" customHeight="1" x14ac:dyDescent="0.25">
      <c r="A12" s="271" t="s">
        <v>656</v>
      </c>
      <c r="B12" s="271"/>
      <c r="C12" s="271"/>
      <c r="D12" s="271"/>
    </row>
    <row r="13" spans="1:4" ht="14.1" customHeight="1" x14ac:dyDescent="0.25"/>
    <row r="14" spans="1:4" ht="20.25" customHeight="1" x14ac:dyDescent="0.25">
      <c r="A14" s="270" t="s">
        <v>558</v>
      </c>
      <c r="B14" s="270"/>
      <c r="C14" s="270"/>
      <c r="D14" s="270"/>
    </row>
    <row r="15" spans="1:4" ht="20.25" customHeight="1" x14ac:dyDescent="0.3">
      <c r="A15" s="269" t="s">
        <v>831</v>
      </c>
      <c r="B15" s="269"/>
      <c r="C15" s="269"/>
      <c r="D15" s="269"/>
    </row>
    <row r="16" spans="1:4" ht="20.25" customHeight="1" x14ac:dyDescent="0.3">
      <c r="A16" s="269" t="s">
        <v>832</v>
      </c>
      <c r="B16" s="269"/>
      <c r="C16" s="269"/>
      <c r="D16" s="269"/>
    </row>
    <row r="17" spans="1:4" ht="20.25" customHeight="1" x14ac:dyDescent="0.25">
      <c r="A17" s="270" t="s">
        <v>638</v>
      </c>
      <c r="B17" s="270"/>
      <c r="C17" s="270"/>
      <c r="D17" s="270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557</v>
      </c>
    </row>
    <row r="20" spans="1:4" ht="18" customHeight="1" x14ac:dyDescent="0.25">
      <c r="B20" s="55" t="s">
        <v>833</v>
      </c>
      <c r="C20" s="61" t="s">
        <v>564</v>
      </c>
      <c r="D20" s="54"/>
    </row>
    <row r="21" spans="1:4" ht="29.45" customHeight="1" x14ac:dyDescent="0.25">
      <c r="A21" s="37"/>
      <c r="B21" s="272" t="s">
        <v>567</v>
      </c>
      <c r="C21" s="273"/>
      <c r="D21" s="54"/>
    </row>
    <row r="22" spans="1:4" ht="82.5" customHeight="1" x14ac:dyDescent="0.3">
      <c r="A22" s="49" t="s">
        <v>632</v>
      </c>
      <c r="B22" s="267" t="s">
        <v>668</v>
      </c>
      <c r="C22" s="268"/>
      <c r="D22" s="56"/>
    </row>
    <row r="23" spans="1:4" ht="26.25" customHeight="1" x14ac:dyDescent="0.25">
      <c r="A23" s="49" t="s">
        <v>633</v>
      </c>
      <c r="B23" s="53" t="s">
        <v>670</v>
      </c>
      <c r="C23" s="62"/>
      <c r="D23" s="56"/>
    </row>
    <row r="24" spans="1:4" ht="88.5" customHeight="1" x14ac:dyDescent="0.25">
      <c r="A24" s="22" t="s">
        <v>634</v>
      </c>
      <c r="B24" s="51"/>
      <c r="C24" s="62"/>
      <c r="D24" s="56"/>
    </row>
    <row r="25" spans="1:4" ht="24.75" customHeight="1" x14ac:dyDescent="0.25">
      <c r="A25" s="49" t="s">
        <v>566</v>
      </c>
      <c r="B25" s="49"/>
      <c r="C25" s="63" t="s">
        <v>565</v>
      </c>
      <c r="D25" s="56">
        <v>383</v>
      </c>
    </row>
    <row r="26" spans="1:4" ht="78.75" x14ac:dyDescent="0.25">
      <c r="A26" s="49" t="s">
        <v>635</v>
      </c>
      <c r="B26" s="50" t="s">
        <v>674</v>
      </c>
      <c r="C26" s="62"/>
      <c r="D26" s="56"/>
    </row>
    <row r="27" spans="1:4" ht="82.5" customHeight="1" x14ac:dyDescent="0.25">
      <c r="A27" s="52" t="s">
        <v>636</v>
      </c>
      <c r="B27" s="50" t="s">
        <v>669</v>
      </c>
      <c r="C27" s="62"/>
      <c r="D27" s="38"/>
    </row>
  </sheetData>
  <mergeCells count="17">
    <mergeCell ref="A10:D10"/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</mergeCells>
  <phoneticPr fontId="38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54"/>
  <sheetViews>
    <sheetView topLeftCell="A37" zoomScale="110" zoomScaleNormal="110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30.42578125" style="70" customWidth="1"/>
    <col min="4" max="5" width="9.28515625" style="70" customWidth="1"/>
    <col min="6" max="6" width="5.5703125" style="70" customWidth="1"/>
    <col min="7" max="7" width="9.28515625" style="70" customWidth="1"/>
    <col min="8" max="8" width="7.5703125" style="70" customWidth="1"/>
    <col min="9" max="9" width="7.28515625" style="70" customWidth="1"/>
    <col min="10" max="10" width="13.7109375" style="70" customWidth="1"/>
    <col min="11" max="11" width="13.42578125" style="70" customWidth="1"/>
    <col min="12" max="12" width="13.28515625" style="70" bestFit="1" customWidth="1"/>
    <col min="13" max="13" width="12.140625" style="70" bestFit="1" customWidth="1"/>
    <col min="14" max="14" width="9.140625" style="70"/>
    <col min="15" max="15" width="12.140625" style="70" bestFit="1" customWidth="1"/>
    <col min="16" max="16" width="9.140625" style="70"/>
    <col min="17" max="17" width="12.140625" style="70" bestFit="1" customWidth="1"/>
    <col min="18" max="18" width="9.140625" style="70"/>
    <col min="19" max="19" width="13.28515625" style="70" bestFit="1" customWidth="1"/>
    <col min="20" max="20" width="9.140625" style="70"/>
    <col min="21" max="21" width="12.140625" style="70" bestFit="1" customWidth="1"/>
    <col min="22" max="16384" width="9.140625" style="70"/>
  </cols>
  <sheetData>
    <row r="1" spans="1:13" ht="16.5" customHeight="1" x14ac:dyDescent="0.25">
      <c r="A1" s="306" t="s">
        <v>79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3" ht="15.75" x14ac:dyDescent="0.25">
      <c r="A2" s="308" t="s">
        <v>459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3" ht="12.75" customHeight="1" x14ac:dyDescent="0.25">
      <c r="A3" s="308" t="s">
        <v>460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3" ht="30" customHeight="1" x14ac:dyDescent="0.25">
      <c r="A4" s="307" t="s">
        <v>696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3" ht="9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3" ht="63" x14ac:dyDescent="0.25">
      <c r="A6" s="187" t="s">
        <v>442</v>
      </c>
      <c r="B6" s="311" t="s">
        <v>454</v>
      </c>
      <c r="C6" s="311"/>
      <c r="D6" s="311" t="s">
        <v>455</v>
      </c>
      <c r="E6" s="311"/>
      <c r="F6" s="311"/>
      <c r="G6" s="187" t="s">
        <v>456</v>
      </c>
      <c r="H6" s="187" t="s">
        <v>697</v>
      </c>
      <c r="I6" s="311" t="s">
        <v>458</v>
      </c>
      <c r="J6" s="311"/>
    </row>
    <row r="7" spans="1:13" ht="15.75" customHeight="1" x14ac:dyDescent="0.25">
      <c r="A7" s="187">
        <v>1</v>
      </c>
      <c r="B7" s="311">
        <v>2</v>
      </c>
      <c r="C7" s="311"/>
      <c r="D7" s="311">
        <v>3</v>
      </c>
      <c r="E7" s="311"/>
      <c r="F7" s="311"/>
      <c r="G7" s="187">
        <v>4</v>
      </c>
      <c r="H7" s="187">
        <v>5</v>
      </c>
      <c r="I7" s="311">
        <v>6</v>
      </c>
      <c r="J7" s="311"/>
    </row>
    <row r="8" spans="1:13" ht="30" customHeight="1" x14ac:dyDescent="0.25">
      <c r="A8" s="187">
        <v>1</v>
      </c>
      <c r="B8" s="309" t="s">
        <v>699</v>
      </c>
      <c r="C8" s="309"/>
      <c r="D8" s="310">
        <v>800</v>
      </c>
      <c r="E8" s="310"/>
      <c r="F8" s="310"/>
      <c r="G8" s="187">
        <v>2</v>
      </c>
      <c r="H8" s="187">
        <v>7</v>
      </c>
      <c r="I8" s="310">
        <f t="shared" ref="I8:I26" si="0">D8*G8*H8</f>
        <v>11200</v>
      </c>
      <c r="J8" s="310"/>
    </row>
    <row r="9" spans="1:13" ht="30" customHeight="1" x14ac:dyDescent="0.25">
      <c r="A9" s="187">
        <v>2</v>
      </c>
      <c r="B9" s="312" t="s">
        <v>698</v>
      </c>
      <c r="C9" s="313"/>
      <c r="D9" s="310">
        <v>4000</v>
      </c>
      <c r="E9" s="310"/>
      <c r="F9" s="310"/>
      <c r="G9" s="187">
        <v>1</v>
      </c>
      <c r="H9" s="98">
        <v>1</v>
      </c>
      <c r="I9" s="310">
        <f>D9*G9*H9</f>
        <v>4000</v>
      </c>
      <c r="J9" s="310"/>
      <c r="K9" s="93"/>
    </row>
    <row r="10" spans="1:13" ht="30" customHeight="1" x14ac:dyDescent="0.25">
      <c r="A10" s="187">
        <v>3</v>
      </c>
      <c r="B10" s="309" t="s">
        <v>700</v>
      </c>
      <c r="C10" s="309"/>
      <c r="D10" s="310">
        <v>332</v>
      </c>
      <c r="E10" s="310"/>
      <c r="F10" s="310"/>
      <c r="G10" s="187">
        <v>2</v>
      </c>
      <c r="H10" s="187">
        <v>5</v>
      </c>
      <c r="I10" s="310">
        <f>D10*G10*H10</f>
        <v>3320</v>
      </c>
      <c r="J10" s="310"/>
      <c r="L10" s="93">
        <f>I10-90</f>
        <v>3230</v>
      </c>
      <c r="M10" s="70">
        <f>L10/H10</f>
        <v>646</v>
      </c>
    </row>
    <row r="11" spans="1:13" ht="30" customHeight="1" x14ac:dyDescent="0.25">
      <c r="A11" s="187">
        <v>4</v>
      </c>
      <c r="B11" s="309" t="s">
        <v>702</v>
      </c>
      <c r="C11" s="309"/>
      <c r="D11" s="310">
        <v>800</v>
      </c>
      <c r="E11" s="310"/>
      <c r="F11" s="310"/>
      <c r="G11" s="187">
        <v>1</v>
      </c>
      <c r="H11" s="187">
        <v>2</v>
      </c>
      <c r="I11" s="310">
        <f t="shared" si="0"/>
        <v>1600</v>
      </c>
      <c r="J11" s="310"/>
    </row>
    <row r="12" spans="1:13" ht="30" customHeight="1" x14ac:dyDescent="0.25">
      <c r="A12" s="187">
        <v>5</v>
      </c>
      <c r="B12" s="309" t="s">
        <v>703</v>
      </c>
      <c r="C12" s="309"/>
      <c r="D12" s="310">
        <v>800</v>
      </c>
      <c r="E12" s="310"/>
      <c r="F12" s="310"/>
      <c r="G12" s="187">
        <v>2</v>
      </c>
      <c r="H12" s="187">
        <v>5</v>
      </c>
      <c r="I12" s="310">
        <f t="shared" si="0"/>
        <v>8000</v>
      </c>
      <c r="J12" s="310"/>
      <c r="K12" s="93"/>
    </row>
    <row r="13" spans="1:13" ht="30" customHeight="1" x14ac:dyDescent="0.25">
      <c r="A13" s="187">
        <v>6</v>
      </c>
      <c r="B13" s="309" t="s">
        <v>704</v>
      </c>
      <c r="C13" s="309"/>
      <c r="D13" s="310">
        <v>800</v>
      </c>
      <c r="E13" s="310"/>
      <c r="F13" s="310"/>
      <c r="G13" s="187">
        <v>2</v>
      </c>
      <c r="H13" s="187">
        <v>5</v>
      </c>
      <c r="I13" s="310">
        <f t="shared" si="0"/>
        <v>8000</v>
      </c>
      <c r="J13" s="310"/>
    </row>
    <row r="14" spans="1:13" ht="30" customHeight="1" x14ac:dyDescent="0.25">
      <c r="A14" s="187">
        <v>7</v>
      </c>
      <c r="B14" s="309" t="s">
        <v>150</v>
      </c>
      <c r="C14" s="309"/>
      <c r="D14" s="310">
        <v>12000</v>
      </c>
      <c r="E14" s="310"/>
      <c r="F14" s="310"/>
      <c r="G14" s="187">
        <v>1</v>
      </c>
      <c r="H14" s="98">
        <v>1</v>
      </c>
      <c r="I14" s="310">
        <f>D14*G14*H14</f>
        <v>12000</v>
      </c>
      <c r="J14" s="310"/>
    </row>
    <row r="15" spans="1:13" ht="30" customHeight="1" x14ac:dyDescent="0.25">
      <c r="A15" s="187">
        <v>8</v>
      </c>
      <c r="B15" s="309" t="s">
        <v>151</v>
      </c>
      <c r="C15" s="309"/>
      <c r="D15" s="310">
        <v>800</v>
      </c>
      <c r="E15" s="310"/>
      <c r="F15" s="310"/>
      <c r="G15" s="187">
        <v>1</v>
      </c>
      <c r="H15" s="215">
        <v>3</v>
      </c>
      <c r="I15" s="310">
        <f>D15*G15*H15</f>
        <v>2400</v>
      </c>
      <c r="J15" s="310"/>
    </row>
    <row r="16" spans="1:13" ht="30" customHeight="1" x14ac:dyDescent="0.25">
      <c r="A16" s="187">
        <v>9</v>
      </c>
      <c r="B16" s="314" t="s">
        <v>705</v>
      </c>
      <c r="C16" s="314"/>
      <c r="D16" s="310">
        <v>800</v>
      </c>
      <c r="E16" s="310"/>
      <c r="F16" s="310"/>
      <c r="G16" s="187">
        <v>1</v>
      </c>
      <c r="H16" s="187">
        <v>3</v>
      </c>
      <c r="I16" s="310">
        <f t="shared" si="0"/>
        <v>2400</v>
      </c>
      <c r="J16" s="310"/>
    </row>
    <row r="17" spans="1:21" ht="30" customHeight="1" x14ac:dyDescent="0.25">
      <c r="A17" s="187">
        <v>10</v>
      </c>
      <c r="B17" s="314" t="s">
        <v>152</v>
      </c>
      <c r="C17" s="314"/>
      <c r="D17" s="310">
        <v>800</v>
      </c>
      <c r="E17" s="310"/>
      <c r="F17" s="310"/>
      <c r="G17" s="187">
        <v>2</v>
      </c>
      <c r="H17" s="187">
        <v>5</v>
      </c>
      <c r="I17" s="310">
        <f t="shared" si="0"/>
        <v>8000</v>
      </c>
      <c r="J17" s="310"/>
    </row>
    <row r="18" spans="1:21" ht="30" customHeight="1" x14ac:dyDescent="0.25">
      <c r="A18" s="187">
        <v>11</v>
      </c>
      <c r="B18" s="314" t="s">
        <v>153</v>
      </c>
      <c r="C18" s="314"/>
      <c r="D18" s="310">
        <v>800</v>
      </c>
      <c r="E18" s="310"/>
      <c r="F18" s="310"/>
      <c r="G18" s="187">
        <v>2</v>
      </c>
      <c r="H18" s="187">
        <v>5</v>
      </c>
      <c r="I18" s="310">
        <f>D18*G18*H18</f>
        <v>8000</v>
      </c>
      <c r="J18" s="310"/>
    </row>
    <row r="19" spans="1:21" ht="30" customHeight="1" x14ac:dyDescent="0.25">
      <c r="A19" s="187">
        <v>12</v>
      </c>
      <c r="B19" s="309" t="s">
        <v>706</v>
      </c>
      <c r="C19" s="309"/>
      <c r="D19" s="310">
        <v>800</v>
      </c>
      <c r="E19" s="310"/>
      <c r="F19" s="310"/>
      <c r="G19" s="187">
        <v>2</v>
      </c>
      <c r="H19" s="187">
        <v>5</v>
      </c>
      <c r="I19" s="310">
        <f t="shared" si="0"/>
        <v>8000</v>
      </c>
      <c r="J19" s="310"/>
    </row>
    <row r="20" spans="1:21" ht="30" customHeight="1" x14ac:dyDescent="0.25">
      <c r="A20" s="187">
        <v>13</v>
      </c>
      <c r="B20" s="309" t="s">
        <v>707</v>
      </c>
      <c r="C20" s="309"/>
      <c r="D20" s="310">
        <v>800</v>
      </c>
      <c r="E20" s="310"/>
      <c r="F20" s="310"/>
      <c r="G20" s="187">
        <f>2+2</f>
        <v>4</v>
      </c>
      <c r="H20" s="187">
        <v>5</v>
      </c>
      <c r="I20" s="310">
        <f t="shared" si="0"/>
        <v>16000</v>
      </c>
      <c r="J20" s="310"/>
    </row>
    <row r="21" spans="1:21" ht="30" customHeight="1" x14ac:dyDescent="0.25">
      <c r="A21" s="187">
        <v>14</v>
      </c>
      <c r="B21" s="309" t="s">
        <v>708</v>
      </c>
      <c r="C21" s="309"/>
      <c r="D21" s="310">
        <v>700</v>
      </c>
      <c r="E21" s="310"/>
      <c r="F21" s="310"/>
      <c r="G21" s="99">
        <v>2</v>
      </c>
      <c r="H21" s="99">
        <v>5</v>
      </c>
      <c r="I21" s="310">
        <f t="shared" si="0"/>
        <v>7000</v>
      </c>
      <c r="J21" s="310"/>
    </row>
    <row r="22" spans="1:21" ht="30" customHeight="1" x14ac:dyDescent="0.25">
      <c r="A22" s="187">
        <v>15</v>
      </c>
      <c r="B22" s="309" t="s">
        <v>154</v>
      </c>
      <c r="C22" s="309"/>
      <c r="D22" s="310">
        <v>1400</v>
      </c>
      <c r="E22" s="310"/>
      <c r="F22" s="310"/>
      <c r="G22" s="99">
        <v>2</v>
      </c>
      <c r="H22" s="100">
        <v>1</v>
      </c>
      <c r="I22" s="310">
        <f>D22*G22*H22</f>
        <v>2800</v>
      </c>
      <c r="J22" s="310"/>
    </row>
    <row r="23" spans="1:21" ht="30" customHeight="1" x14ac:dyDescent="0.25">
      <c r="A23" s="187">
        <v>16</v>
      </c>
      <c r="B23" s="309" t="s">
        <v>155</v>
      </c>
      <c r="C23" s="309"/>
      <c r="D23" s="310">
        <v>800</v>
      </c>
      <c r="E23" s="310"/>
      <c r="F23" s="310"/>
      <c r="G23" s="99">
        <v>1</v>
      </c>
      <c r="H23" s="99">
        <v>3</v>
      </c>
      <c r="I23" s="310">
        <f>D23*G23*H23</f>
        <v>2400</v>
      </c>
      <c r="J23" s="310"/>
    </row>
    <row r="24" spans="1:21" ht="30" customHeight="1" x14ac:dyDescent="0.25">
      <c r="A24" s="187">
        <v>17</v>
      </c>
      <c r="B24" s="309" t="s">
        <v>154</v>
      </c>
      <c r="C24" s="309"/>
      <c r="D24" s="310">
        <f>920*2</f>
        <v>1840</v>
      </c>
      <c r="E24" s="310"/>
      <c r="F24" s="310"/>
      <c r="G24" s="99">
        <v>1</v>
      </c>
      <c r="H24" s="100">
        <v>1</v>
      </c>
      <c r="I24" s="310">
        <f>D24*G24*H24</f>
        <v>1840</v>
      </c>
      <c r="J24" s="310"/>
    </row>
    <row r="25" spans="1:21" ht="30" customHeight="1" x14ac:dyDescent="0.25">
      <c r="A25" s="187">
        <v>18</v>
      </c>
      <c r="B25" s="309" t="s">
        <v>157</v>
      </c>
      <c r="C25" s="309"/>
      <c r="D25" s="310">
        <f>3100*2</f>
        <v>6200</v>
      </c>
      <c r="E25" s="310"/>
      <c r="F25" s="310"/>
      <c r="G25" s="99">
        <v>2</v>
      </c>
      <c r="H25" s="100">
        <v>1</v>
      </c>
      <c r="I25" s="310">
        <f t="shared" si="0"/>
        <v>12400</v>
      </c>
      <c r="J25" s="310"/>
    </row>
    <row r="26" spans="1:21" ht="30" customHeight="1" x14ac:dyDescent="0.25">
      <c r="A26" s="187">
        <v>19</v>
      </c>
      <c r="B26" s="309" t="s">
        <v>158</v>
      </c>
      <c r="C26" s="309"/>
      <c r="D26" s="310">
        <v>800</v>
      </c>
      <c r="E26" s="310"/>
      <c r="F26" s="310"/>
      <c r="G26" s="99">
        <v>5</v>
      </c>
      <c r="H26" s="99">
        <v>3</v>
      </c>
      <c r="I26" s="310">
        <f t="shared" si="0"/>
        <v>12000</v>
      </c>
      <c r="J26" s="310"/>
    </row>
    <row r="27" spans="1:21" ht="30" customHeight="1" x14ac:dyDescent="0.25">
      <c r="A27" s="187">
        <v>20</v>
      </c>
      <c r="B27" s="309" t="s">
        <v>709</v>
      </c>
      <c r="C27" s="309"/>
      <c r="D27" s="310">
        <v>800</v>
      </c>
      <c r="E27" s="310"/>
      <c r="F27" s="310"/>
      <c r="G27" s="99">
        <v>1</v>
      </c>
      <c r="H27" s="99">
        <v>6</v>
      </c>
      <c r="I27" s="310">
        <f>D27*G27*H27</f>
        <v>4800</v>
      </c>
      <c r="J27" s="310"/>
      <c r="O27" s="90"/>
    </row>
    <row r="28" spans="1:21" ht="30" customHeight="1" x14ac:dyDescent="0.25">
      <c r="A28" s="187">
        <v>21</v>
      </c>
      <c r="B28" s="309" t="s">
        <v>156</v>
      </c>
      <c r="C28" s="309"/>
      <c r="D28" s="310">
        <v>1200</v>
      </c>
      <c r="E28" s="310"/>
      <c r="F28" s="310"/>
      <c r="G28" s="99">
        <v>1</v>
      </c>
      <c r="H28" s="100">
        <v>1</v>
      </c>
      <c r="I28" s="310">
        <f>D28*G28*H28</f>
        <v>1200</v>
      </c>
      <c r="J28" s="310"/>
      <c r="O28" s="90"/>
    </row>
    <row r="29" spans="1:21" ht="30" customHeight="1" x14ac:dyDescent="0.25">
      <c r="A29" s="187">
        <v>22</v>
      </c>
      <c r="B29" s="309" t="s">
        <v>710</v>
      </c>
      <c r="C29" s="309"/>
      <c r="D29" s="310">
        <v>3708.8</v>
      </c>
      <c r="E29" s="310"/>
      <c r="F29" s="310"/>
      <c r="G29" s="99">
        <v>1</v>
      </c>
      <c r="H29" s="100">
        <v>1</v>
      </c>
      <c r="I29" s="310">
        <f>D29*G29*H29</f>
        <v>3708.8</v>
      </c>
      <c r="J29" s="310"/>
      <c r="O29" s="90"/>
    </row>
    <row r="30" spans="1:21" ht="30" customHeight="1" x14ac:dyDescent="0.25">
      <c r="A30" s="187">
        <v>23</v>
      </c>
      <c r="B30" s="309" t="s">
        <v>711</v>
      </c>
      <c r="C30" s="309"/>
      <c r="D30" s="310">
        <v>846.4</v>
      </c>
      <c r="E30" s="310"/>
      <c r="F30" s="310"/>
      <c r="G30" s="99">
        <v>1</v>
      </c>
      <c r="H30" s="99">
        <v>3</v>
      </c>
      <c r="I30" s="310">
        <f>D30*G30*H30</f>
        <v>2539.1999999999998</v>
      </c>
      <c r="J30" s="310"/>
      <c r="L30" s="115"/>
      <c r="M30" s="90"/>
      <c r="O30" s="90"/>
      <c r="Q30" s="90"/>
      <c r="S30" s="90"/>
      <c r="U30" s="90"/>
    </row>
    <row r="31" spans="1:21" ht="15.75" x14ac:dyDescent="0.25">
      <c r="A31" s="187"/>
      <c r="B31" s="311" t="s">
        <v>450</v>
      </c>
      <c r="C31" s="311"/>
      <c r="D31" s="311" t="s">
        <v>451</v>
      </c>
      <c r="E31" s="311"/>
      <c r="F31" s="311"/>
      <c r="G31" s="187" t="s">
        <v>451</v>
      </c>
      <c r="H31" s="187" t="s">
        <v>451</v>
      </c>
      <c r="I31" s="310">
        <f>SUM(I8:J30)</f>
        <v>143608</v>
      </c>
      <c r="J31" s="315"/>
      <c r="K31" s="70">
        <f>'р.3 2019'!R64</f>
        <v>0</v>
      </c>
      <c r="L31" s="93">
        <f>K31-I31</f>
        <v>-143608</v>
      </c>
    </row>
    <row r="32" spans="1:21" ht="11.25" customHeight="1" x14ac:dyDescent="0.25"/>
    <row r="33" spans="1:13" ht="12.75" customHeight="1" x14ac:dyDescent="0.25"/>
    <row r="34" spans="1:13" ht="30" customHeight="1" x14ac:dyDescent="0.25">
      <c r="A34" s="307" t="s">
        <v>712</v>
      </c>
      <c r="B34" s="307"/>
      <c r="C34" s="307"/>
      <c r="D34" s="307"/>
      <c r="E34" s="307"/>
      <c r="F34" s="307"/>
      <c r="G34" s="307"/>
      <c r="H34" s="307"/>
      <c r="I34" s="307"/>
      <c r="J34" s="307"/>
    </row>
    <row r="35" spans="1:13" ht="10.5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3" ht="63" x14ac:dyDescent="0.25">
      <c r="A36" s="187" t="s">
        <v>442</v>
      </c>
      <c r="B36" s="311" t="s">
        <v>454</v>
      </c>
      <c r="C36" s="311"/>
      <c r="D36" s="311" t="s">
        <v>455</v>
      </c>
      <c r="E36" s="311"/>
      <c r="F36" s="311"/>
      <c r="G36" s="187" t="s">
        <v>456</v>
      </c>
      <c r="H36" s="187" t="s">
        <v>457</v>
      </c>
      <c r="I36" s="311" t="s">
        <v>458</v>
      </c>
      <c r="J36" s="311"/>
    </row>
    <row r="37" spans="1:13" ht="21" customHeight="1" x14ac:dyDescent="0.25">
      <c r="A37" s="187">
        <v>1</v>
      </c>
      <c r="B37" s="311">
        <v>2</v>
      </c>
      <c r="C37" s="311"/>
      <c r="D37" s="311">
        <v>3</v>
      </c>
      <c r="E37" s="311"/>
      <c r="F37" s="311"/>
      <c r="G37" s="187">
        <v>4</v>
      </c>
      <c r="H37" s="187">
        <v>5</v>
      </c>
      <c r="I37" s="311">
        <v>6</v>
      </c>
      <c r="J37" s="311"/>
    </row>
    <row r="38" spans="1:13" ht="30" customHeight="1" x14ac:dyDescent="0.25">
      <c r="A38" s="187">
        <v>1</v>
      </c>
      <c r="B38" s="309" t="s">
        <v>159</v>
      </c>
      <c r="C38" s="309"/>
      <c r="D38" s="315">
        <v>500</v>
      </c>
      <c r="E38" s="315"/>
      <c r="F38" s="315"/>
      <c r="G38" s="187">
        <v>2</v>
      </c>
      <c r="H38" s="187">
        <v>8</v>
      </c>
      <c r="I38" s="310">
        <f t="shared" ref="I38:I50" si="1">D38*G38*H38</f>
        <v>8000</v>
      </c>
      <c r="J38" s="310"/>
      <c r="K38" s="93"/>
      <c r="M38" s="70">
        <f>8+3</f>
        <v>11</v>
      </c>
    </row>
    <row r="39" spans="1:13" ht="30" customHeight="1" x14ac:dyDescent="0.25">
      <c r="A39" s="187">
        <v>2</v>
      </c>
      <c r="B39" s="312" t="s">
        <v>160</v>
      </c>
      <c r="C39" s="313"/>
      <c r="D39" s="315">
        <v>500</v>
      </c>
      <c r="E39" s="315"/>
      <c r="F39" s="315"/>
      <c r="G39" s="187">
        <v>1</v>
      </c>
      <c r="H39" s="187">
        <v>6</v>
      </c>
      <c r="I39" s="310">
        <f t="shared" si="1"/>
        <v>3000</v>
      </c>
      <c r="J39" s="310"/>
      <c r="M39" s="70">
        <f>M38/0.5/3</f>
        <v>7.333333333333333</v>
      </c>
    </row>
    <row r="40" spans="1:13" ht="30" customHeight="1" x14ac:dyDescent="0.25">
      <c r="A40" s="187">
        <v>3</v>
      </c>
      <c r="B40" s="309" t="s">
        <v>713</v>
      </c>
      <c r="C40" s="309"/>
      <c r="D40" s="315">
        <v>500</v>
      </c>
      <c r="E40" s="315"/>
      <c r="F40" s="315"/>
      <c r="G40" s="187">
        <v>1</v>
      </c>
      <c r="H40" s="187">
        <v>6</v>
      </c>
      <c r="I40" s="310">
        <f>D40*G40*H40</f>
        <v>3000</v>
      </c>
      <c r="J40" s="310"/>
    </row>
    <row r="41" spans="1:13" ht="30" customHeight="1" x14ac:dyDescent="0.25">
      <c r="A41" s="187">
        <v>4</v>
      </c>
      <c r="B41" s="309" t="s">
        <v>165</v>
      </c>
      <c r="C41" s="309"/>
      <c r="D41" s="315">
        <v>500</v>
      </c>
      <c r="E41" s="315"/>
      <c r="F41" s="315"/>
      <c r="G41" s="187">
        <v>2</v>
      </c>
      <c r="H41" s="187">
        <v>6</v>
      </c>
      <c r="I41" s="310">
        <f t="shared" si="1"/>
        <v>6000</v>
      </c>
      <c r="J41" s="310"/>
      <c r="K41" s="93"/>
    </row>
    <row r="42" spans="1:13" ht="30" customHeight="1" x14ac:dyDescent="0.25">
      <c r="A42" s="187">
        <v>5</v>
      </c>
      <c r="B42" s="309" t="s">
        <v>166</v>
      </c>
      <c r="C42" s="309"/>
      <c r="D42" s="315">
        <v>500</v>
      </c>
      <c r="E42" s="315"/>
      <c r="F42" s="315"/>
      <c r="G42" s="187">
        <v>2</v>
      </c>
      <c r="H42" s="187">
        <v>7</v>
      </c>
      <c r="I42" s="310">
        <f>D42*G42*H42</f>
        <v>7000</v>
      </c>
      <c r="J42" s="310"/>
      <c r="K42" s="93"/>
    </row>
    <row r="43" spans="1:13" ht="30" customHeight="1" x14ac:dyDescent="0.25">
      <c r="A43" s="187">
        <v>6</v>
      </c>
      <c r="B43" s="309" t="s">
        <v>167</v>
      </c>
      <c r="C43" s="309"/>
      <c r="D43" s="315">
        <v>500</v>
      </c>
      <c r="E43" s="315"/>
      <c r="F43" s="315"/>
      <c r="G43" s="187">
        <v>3</v>
      </c>
      <c r="H43" s="187">
        <v>6</v>
      </c>
      <c r="I43" s="310">
        <f t="shared" si="1"/>
        <v>9000</v>
      </c>
      <c r="J43" s="310"/>
    </row>
    <row r="44" spans="1:13" ht="30" customHeight="1" x14ac:dyDescent="0.25">
      <c r="A44" s="187">
        <v>7</v>
      </c>
      <c r="B44" s="314" t="s">
        <v>170</v>
      </c>
      <c r="C44" s="314"/>
      <c r="D44" s="315">
        <v>500</v>
      </c>
      <c r="E44" s="315"/>
      <c r="F44" s="315"/>
      <c r="G44" s="187">
        <v>1</v>
      </c>
      <c r="H44" s="187">
        <v>9</v>
      </c>
      <c r="I44" s="310">
        <f t="shared" si="1"/>
        <v>4500</v>
      </c>
      <c r="J44" s="310"/>
    </row>
    <row r="45" spans="1:13" ht="30" customHeight="1" x14ac:dyDescent="0.25">
      <c r="A45" s="187">
        <v>8</v>
      </c>
      <c r="B45" s="309" t="s">
        <v>714</v>
      </c>
      <c r="C45" s="309"/>
      <c r="D45" s="315">
        <v>500</v>
      </c>
      <c r="E45" s="315"/>
      <c r="F45" s="315"/>
      <c r="G45" s="187">
        <v>2</v>
      </c>
      <c r="H45" s="255">
        <v>4.1550000000000002</v>
      </c>
      <c r="I45" s="310">
        <f>D45*G45*H45+0.09</f>
        <v>4155.09</v>
      </c>
      <c r="J45" s="310"/>
    </row>
    <row r="46" spans="1:13" ht="30" customHeight="1" x14ac:dyDescent="0.25">
      <c r="A46" s="187">
        <v>9</v>
      </c>
      <c r="B46" s="309" t="s">
        <v>164</v>
      </c>
      <c r="C46" s="309"/>
      <c r="D46" s="315">
        <v>500</v>
      </c>
      <c r="E46" s="315"/>
      <c r="F46" s="315"/>
      <c r="G46" s="187">
        <v>2</v>
      </c>
      <c r="H46" s="187">
        <v>6</v>
      </c>
      <c r="I46" s="310">
        <f>D46*G46*H46</f>
        <v>6000</v>
      </c>
      <c r="J46" s="310"/>
    </row>
    <row r="47" spans="1:13" ht="30" customHeight="1" x14ac:dyDescent="0.25">
      <c r="A47" s="187">
        <v>10</v>
      </c>
      <c r="B47" s="309" t="s">
        <v>163</v>
      </c>
      <c r="C47" s="309"/>
      <c r="D47" s="315">
        <v>500</v>
      </c>
      <c r="E47" s="315"/>
      <c r="F47" s="315"/>
      <c r="G47" s="187">
        <v>3</v>
      </c>
      <c r="H47" s="187">
        <v>5</v>
      </c>
      <c r="I47" s="310">
        <f>D47*G47*H47</f>
        <v>7500</v>
      </c>
      <c r="J47" s="310"/>
    </row>
    <row r="48" spans="1:13" ht="30" customHeight="1" x14ac:dyDescent="0.25">
      <c r="A48" s="187">
        <v>11</v>
      </c>
      <c r="B48" s="309" t="s">
        <v>162</v>
      </c>
      <c r="C48" s="309"/>
      <c r="D48" s="315">
        <v>500</v>
      </c>
      <c r="E48" s="315"/>
      <c r="F48" s="315"/>
      <c r="G48" s="187">
        <v>2</v>
      </c>
      <c r="H48" s="187">
        <v>8</v>
      </c>
      <c r="I48" s="310">
        <f>D48*G48*H48</f>
        <v>8000</v>
      </c>
      <c r="J48" s="310"/>
    </row>
    <row r="49" spans="1:12" ht="30" customHeight="1" x14ac:dyDescent="0.25">
      <c r="A49" s="187">
        <v>12</v>
      </c>
      <c r="B49" s="309" t="s">
        <v>161</v>
      </c>
      <c r="C49" s="309"/>
      <c r="D49" s="315">
        <v>500</v>
      </c>
      <c r="E49" s="315"/>
      <c r="F49" s="315"/>
      <c r="G49" s="187">
        <v>2</v>
      </c>
      <c r="H49" s="187">
        <v>8</v>
      </c>
      <c r="I49" s="310">
        <f t="shared" si="1"/>
        <v>8000</v>
      </c>
      <c r="J49" s="310"/>
    </row>
    <row r="50" spans="1:12" ht="30" customHeight="1" x14ac:dyDescent="0.25">
      <c r="A50" s="187">
        <v>13</v>
      </c>
      <c r="B50" s="309" t="s">
        <v>168</v>
      </c>
      <c r="C50" s="309"/>
      <c r="D50" s="315">
        <v>500</v>
      </c>
      <c r="E50" s="315"/>
      <c r="F50" s="315"/>
      <c r="G50" s="187">
        <v>2</v>
      </c>
      <c r="H50" s="187">
        <v>8</v>
      </c>
      <c r="I50" s="310">
        <f t="shared" si="1"/>
        <v>8000</v>
      </c>
      <c r="J50" s="310"/>
      <c r="L50" s="93"/>
    </row>
    <row r="51" spans="1:12" ht="30" customHeight="1" x14ac:dyDescent="0.25">
      <c r="A51" s="187">
        <v>14</v>
      </c>
      <c r="B51" s="309" t="s">
        <v>171</v>
      </c>
      <c r="C51" s="309"/>
      <c r="D51" s="317">
        <v>500</v>
      </c>
      <c r="E51" s="318"/>
      <c r="F51" s="319"/>
      <c r="G51" s="187">
        <v>2</v>
      </c>
      <c r="H51" s="187">
        <v>8</v>
      </c>
      <c r="I51" s="310">
        <f>D51*G51*H51</f>
        <v>8000</v>
      </c>
      <c r="J51" s="310"/>
    </row>
    <row r="52" spans="1:12" ht="15.75" x14ac:dyDescent="0.25">
      <c r="A52" s="316" t="s">
        <v>169</v>
      </c>
      <c r="B52" s="316"/>
      <c r="C52" s="316"/>
      <c r="D52" s="311" t="s">
        <v>451</v>
      </c>
      <c r="E52" s="311"/>
      <c r="F52" s="311"/>
      <c r="G52" s="187" t="s">
        <v>451</v>
      </c>
      <c r="H52" s="187" t="s">
        <v>451</v>
      </c>
      <c r="I52" s="310">
        <f>SUM(I38:J50)</f>
        <v>82155.09</v>
      </c>
      <c r="J52" s="310"/>
      <c r="K52" s="70">
        <f>'р.3 2019'!R66</f>
        <v>78500</v>
      </c>
      <c r="L52" s="93">
        <f>K52-I52</f>
        <v>-3655.0899999999965</v>
      </c>
    </row>
    <row r="54" spans="1:12" x14ac:dyDescent="0.25">
      <c r="J54" s="93"/>
    </row>
  </sheetData>
  <mergeCells count="134">
    <mergeCell ref="A52:C52"/>
    <mergeCell ref="B46:C46"/>
    <mergeCell ref="D46:F46"/>
    <mergeCell ref="I46:J46"/>
    <mergeCell ref="B47:C47"/>
    <mergeCell ref="D47:F47"/>
    <mergeCell ref="I47:J47"/>
    <mergeCell ref="D52:F52"/>
    <mergeCell ref="I52:J52"/>
    <mergeCell ref="B50:C50"/>
    <mergeCell ref="B51:C51"/>
    <mergeCell ref="D51:F51"/>
    <mergeCell ref="I51:J51"/>
    <mergeCell ref="B48:C48"/>
    <mergeCell ref="D48:F48"/>
    <mergeCell ref="I48:J48"/>
    <mergeCell ref="D50:F50"/>
    <mergeCell ref="I50:J50"/>
    <mergeCell ref="B22:C22"/>
    <mergeCell ref="D22:F22"/>
    <mergeCell ref="I22:J22"/>
    <mergeCell ref="B23:C23"/>
    <mergeCell ref="D23:F23"/>
    <mergeCell ref="I23:J23"/>
    <mergeCell ref="D45:F45"/>
    <mergeCell ref="I45:J45"/>
    <mergeCell ref="B24:C24"/>
    <mergeCell ref="D24:F24"/>
    <mergeCell ref="I24:J24"/>
    <mergeCell ref="B28:C28"/>
    <mergeCell ref="D28:F28"/>
    <mergeCell ref="I28:J28"/>
    <mergeCell ref="D43:F43"/>
    <mergeCell ref="I43:J43"/>
    <mergeCell ref="B42:C42"/>
    <mergeCell ref="D42:F42"/>
    <mergeCell ref="I42:J42"/>
    <mergeCell ref="B45:C45"/>
    <mergeCell ref="B44:C44"/>
    <mergeCell ref="D44:F44"/>
    <mergeCell ref="I44:J44"/>
    <mergeCell ref="B40:C40"/>
    <mergeCell ref="D40:F40"/>
    <mergeCell ref="I40:J40"/>
    <mergeCell ref="B41:C41"/>
    <mergeCell ref="D41:F41"/>
    <mergeCell ref="B49:C49"/>
    <mergeCell ref="D49:F49"/>
    <mergeCell ref="I49:J49"/>
    <mergeCell ref="I41:J41"/>
    <mergeCell ref="B43:C43"/>
    <mergeCell ref="B39:C39"/>
    <mergeCell ref="D39:F39"/>
    <mergeCell ref="I39:J39"/>
    <mergeCell ref="B36:C36"/>
    <mergeCell ref="D36:F36"/>
    <mergeCell ref="I36:J36"/>
    <mergeCell ref="B37:C37"/>
    <mergeCell ref="D37:F37"/>
    <mergeCell ref="I37:J37"/>
    <mergeCell ref="B38:C38"/>
    <mergeCell ref="D38:F38"/>
    <mergeCell ref="I38:J38"/>
    <mergeCell ref="A34:J34"/>
    <mergeCell ref="B27:C27"/>
    <mergeCell ref="D27:F27"/>
    <mergeCell ref="I27:J27"/>
    <mergeCell ref="B29:C29"/>
    <mergeCell ref="D29:F29"/>
    <mergeCell ref="I29:J29"/>
    <mergeCell ref="B30:C30"/>
    <mergeCell ref="D30:F30"/>
    <mergeCell ref="I30:J30"/>
    <mergeCell ref="B25:C25"/>
    <mergeCell ref="D25:F25"/>
    <mergeCell ref="I25:J25"/>
    <mergeCell ref="B26:C26"/>
    <mergeCell ref="D26:F26"/>
    <mergeCell ref="I26:J26"/>
    <mergeCell ref="B31:C31"/>
    <mergeCell ref="D31:F31"/>
    <mergeCell ref="I31:J31"/>
    <mergeCell ref="B19:C19"/>
    <mergeCell ref="D19:F19"/>
    <mergeCell ref="I19:J19"/>
    <mergeCell ref="B17:C17"/>
    <mergeCell ref="D17:F17"/>
    <mergeCell ref="I17:J17"/>
    <mergeCell ref="B21:C21"/>
    <mergeCell ref="D21:F21"/>
    <mergeCell ref="I21:J21"/>
    <mergeCell ref="B20:C20"/>
    <mergeCell ref="D20:F20"/>
    <mergeCell ref="I20:J20"/>
    <mergeCell ref="B18:C18"/>
    <mergeCell ref="D18:F18"/>
    <mergeCell ref="I18:J18"/>
    <mergeCell ref="B16:C16"/>
    <mergeCell ref="D16:F16"/>
    <mergeCell ref="I16:J16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B9:C9"/>
    <mergeCell ref="D9:F9"/>
    <mergeCell ref="I9:J9"/>
    <mergeCell ref="B10:C10"/>
    <mergeCell ref="D10:F10"/>
    <mergeCell ref="I10:J10"/>
    <mergeCell ref="B12:C12"/>
    <mergeCell ref="D12:F12"/>
    <mergeCell ref="I12:J12"/>
    <mergeCell ref="B11:C11"/>
    <mergeCell ref="D11:F11"/>
    <mergeCell ref="I11:J11"/>
    <mergeCell ref="A1:J1"/>
    <mergeCell ref="A2:J2"/>
    <mergeCell ref="A3:J3"/>
    <mergeCell ref="A4:J4"/>
    <mergeCell ref="B8:C8"/>
    <mergeCell ref="D8:F8"/>
    <mergeCell ref="I8:J8"/>
    <mergeCell ref="B6:C6"/>
    <mergeCell ref="D6:F6"/>
    <mergeCell ref="I6:J6"/>
    <mergeCell ref="B7:C7"/>
    <mergeCell ref="D7:F7"/>
    <mergeCell ref="I7:J7"/>
  </mergeCells>
  <phoneticPr fontId="38" type="noConversion"/>
  <pageMargins left="1.1417322834645669" right="0.47244094488188981" top="7.874015748031496E-2" bottom="0.47244094488188981" header="0.19685039370078741" footer="0.19685039370078741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70"/>
  <sheetViews>
    <sheetView topLeftCell="A55" workbookViewId="0">
      <selection activeCell="D133" sqref="D133"/>
    </sheetView>
  </sheetViews>
  <sheetFormatPr defaultRowHeight="15" x14ac:dyDescent="0.25"/>
  <cols>
    <col min="1" max="1" width="4.7109375" style="70" customWidth="1"/>
    <col min="2" max="3" width="17.7109375" style="70" customWidth="1"/>
    <col min="4" max="4" width="41" style="70" customWidth="1"/>
    <col min="5" max="5" width="16.5703125" style="70" customWidth="1"/>
    <col min="6" max="6" width="16.140625" style="70" customWidth="1"/>
    <col min="7" max="7" width="12.140625" style="70" bestFit="1" customWidth="1"/>
    <col min="8" max="8" width="11.42578125" style="70" bestFit="1" customWidth="1"/>
    <col min="9" max="16384" width="9.140625" style="70"/>
  </cols>
  <sheetData>
    <row r="1" spans="1:6" ht="15" hidden="1" customHeight="1" x14ac:dyDescent="0.25">
      <c r="A1" s="308" t="s">
        <v>477</v>
      </c>
      <c r="B1" s="308"/>
      <c r="C1" s="308"/>
      <c r="D1" s="308"/>
      <c r="E1" s="308"/>
      <c r="F1" s="308"/>
    </row>
    <row r="2" spans="1:6" ht="15" hidden="1" customHeight="1" x14ac:dyDescent="0.25">
      <c r="A2" s="308" t="s">
        <v>478</v>
      </c>
      <c r="B2" s="308"/>
      <c r="C2" s="308"/>
      <c r="D2" s="308"/>
      <c r="E2" s="308"/>
      <c r="F2" s="308"/>
    </row>
    <row r="3" spans="1:6" ht="7.5" hidden="1" customHeight="1" x14ac:dyDescent="0.25">
      <c r="A3" s="91"/>
      <c r="B3" s="91"/>
      <c r="C3" s="91"/>
      <c r="D3" s="91"/>
      <c r="E3" s="91"/>
      <c r="F3" s="91"/>
    </row>
    <row r="4" spans="1:6" ht="60" hidden="1" x14ac:dyDescent="0.25">
      <c r="A4" s="185" t="s">
        <v>442</v>
      </c>
      <c r="B4" s="185" t="s">
        <v>454</v>
      </c>
      <c r="C4" s="185" t="s">
        <v>474</v>
      </c>
      <c r="D4" s="185" t="s">
        <v>475</v>
      </c>
      <c r="E4" s="185" t="s">
        <v>476</v>
      </c>
      <c r="F4" s="185" t="s">
        <v>458</v>
      </c>
    </row>
    <row r="5" spans="1:6" ht="15" hidden="1" customHeight="1" x14ac:dyDescent="0.25">
      <c r="A5" s="185">
        <v>1</v>
      </c>
      <c r="B5" s="185">
        <v>2</v>
      </c>
      <c r="C5" s="185">
        <v>3</v>
      </c>
      <c r="D5" s="185">
        <v>4</v>
      </c>
      <c r="E5" s="185">
        <v>5</v>
      </c>
      <c r="F5" s="185">
        <v>6</v>
      </c>
    </row>
    <row r="6" spans="1:6" hidden="1" x14ac:dyDescent="0.25">
      <c r="A6" s="185"/>
      <c r="B6" s="185"/>
      <c r="C6" s="185"/>
      <c r="D6" s="185"/>
      <c r="E6" s="185"/>
      <c r="F6" s="185"/>
    </row>
    <row r="7" spans="1:6" hidden="1" x14ac:dyDescent="0.25">
      <c r="A7" s="185"/>
      <c r="B7" s="185"/>
      <c r="C7" s="185"/>
      <c r="D7" s="185"/>
      <c r="E7" s="185"/>
      <c r="F7" s="185"/>
    </row>
    <row r="8" spans="1:6" hidden="1" x14ac:dyDescent="0.25">
      <c r="A8" s="185"/>
      <c r="B8" s="185" t="s">
        <v>450</v>
      </c>
      <c r="C8" s="185" t="s">
        <v>451</v>
      </c>
      <c r="D8" s="185" t="s">
        <v>451</v>
      </c>
      <c r="E8" s="185" t="s">
        <v>451</v>
      </c>
      <c r="F8" s="185"/>
    </row>
    <row r="9" spans="1:6" ht="8.25" hidden="1" customHeight="1" x14ac:dyDescent="0.25">
      <c r="A9" s="91"/>
      <c r="B9" s="91"/>
      <c r="C9" s="91"/>
      <c r="D9" s="91"/>
      <c r="E9" s="91"/>
      <c r="F9" s="91"/>
    </row>
    <row r="10" spans="1:6" ht="27.75" customHeight="1" x14ac:dyDescent="0.25">
      <c r="A10" s="341" t="s">
        <v>81</v>
      </c>
      <c r="B10" s="342"/>
      <c r="C10" s="342"/>
      <c r="D10" s="342"/>
      <c r="E10" s="342"/>
      <c r="F10" s="342"/>
    </row>
    <row r="11" spans="1:6" ht="15" customHeight="1" x14ac:dyDescent="0.25">
      <c r="A11" s="308" t="s">
        <v>479</v>
      </c>
      <c r="B11" s="308"/>
      <c r="C11" s="308"/>
      <c r="D11" s="308"/>
      <c r="E11" s="308"/>
      <c r="F11" s="308"/>
    </row>
    <row r="12" spans="1:6" ht="15.75" x14ac:dyDescent="0.25">
      <c r="A12" s="308" t="s">
        <v>480</v>
      </c>
      <c r="B12" s="308"/>
      <c r="C12" s="308"/>
      <c r="D12" s="308"/>
      <c r="E12" s="308"/>
      <c r="F12" s="308"/>
    </row>
    <row r="13" spans="1:6" ht="15.75" x14ac:dyDescent="0.25">
      <c r="A13" s="308" t="s">
        <v>481</v>
      </c>
      <c r="B13" s="308"/>
      <c r="C13" s="308"/>
      <c r="D13" s="308"/>
      <c r="E13" s="308"/>
      <c r="F13" s="308"/>
    </row>
    <row r="14" spans="1:6" ht="15.75" x14ac:dyDescent="0.25">
      <c r="A14" s="308" t="s">
        <v>482</v>
      </c>
      <c r="B14" s="308"/>
      <c r="C14" s="308"/>
      <c r="D14" s="308"/>
      <c r="E14" s="308"/>
      <c r="F14" s="308"/>
    </row>
    <row r="15" spans="1:6" ht="15.75" x14ac:dyDescent="0.25">
      <c r="A15" s="333" t="s">
        <v>694</v>
      </c>
      <c r="B15" s="333"/>
      <c r="C15" s="333"/>
      <c r="D15" s="333"/>
      <c r="E15" s="333"/>
      <c r="F15" s="333"/>
    </row>
    <row r="16" spans="1:6" ht="60" customHeight="1" x14ac:dyDescent="0.25">
      <c r="A16" s="185" t="s">
        <v>442</v>
      </c>
      <c r="B16" s="302" t="s">
        <v>483</v>
      </c>
      <c r="C16" s="302"/>
      <c r="D16" s="302"/>
      <c r="E16" s="185" t="s">
        <v>484</v>
      </c>
      <c r="F16" s="185" t="s">
        <v>485</v>
      </c>
    </row>
    <row r="17" spans="1:8" x14ac:dyDescent="0.25">
      <c r="A17" s="185">
        <v>1</v>
      </c>
      <c r="B17" s="302">
        <v>2</v>
      </c>
      <c r="C17" s="302"/>
      <c r="D17" s="302"/>
      <c r="E17" s="185">
        <v>3</v>
      </c>
      <c r="F17" s="185">
        <v>4</v>
      </c>
    </row>
    <row r="18" spans="1:8" ht="15" customHeight="1" x14ac:dyDescent="0.25">
      <c r="A18" s="185">
        <v>1</v>
      </c>
      <c r="B18" s="324" t="s">
        <v>486</v>
      </c>
      <c r="C18" s="325"/>
      <c r="D18" s="326"/>
      <c r="E18" s="185" t="s">
        <v>451</v>
      </c>
      <c r="F18" s="133">
        <f>F19+F21+F22</f>
        <v>6117020</v>
      </c>
    </row>
    <row r="19" spans="1:8" s="92" customFormat="1" ht="12" customHeight="1" x14ac:dyDescent="0.25">
      <c r="A19" s="334" t="s">
        <v>487</v>
      </c>
      <c r="B19" s="335" t="s">
        <v>502</v>
      </c>
      <c r="C19" s="336"/>
      <c r="D19" s="337"/>
      <c r="E19" s="321">
        <f>'расч. 211(2000)2018'!J33</f>
        <v>27804500</v>
      </c>
      <c r="F19" s="321">
        <f>CEILING(E19*22%,10)+30</f>
        <v>6117020</v>
      </c>
    </row>
    <row r="20" spans="1:8" s="92" customFormat="1" ht="3" customHeight="1" x14ac:dyDescent="0.25">
      <c r="A20" s="322"/>
      <c r="B20" s="338"/>
      <c r="C20" s="339"/>
      <c r="D20" s="340"/>
      <c r="E20" s="323"/>
      <c r="F20" s="323"/>
    </row>
    <row r="21" spans="1:8" ht="15" customHeight="1" x14ac:dyDescent="0.25">
      <c r="A21" s="185" t="s">
        <v>488</v>
      </c>
      <c r="B21" s="320" t="s">
        <v>489</v>
      </c>
      <c r="C21" s="320"/>
      <c r="D21" s="320"/>
      <c r="E21" s="185"/>
      <c r="F21" s="185">
        <f>ROUND(E21*10%,2)</f>
        <v>0</v>
      </c>
    </row>
    <row r="22" spans="1:8" ht="24.75" customHeight="1" x14ac:dyDescent="0.25">
      <c r="A22" s="185" t="s">
        <v>490</v>
      </c>
      <c r="B22" s="320" t="s">
        <v>491</v>
      </c>
      <c r="C22" s="320"/>
      <c r="D22" s="320"/>
      <c r="E22" s="185"/>
      <c r="F22" s="185"/>
    </row>
    <row r="23" spans="1:8" ht="15" customHeight="1" x14ac:dyDescent="0.25">
      <c r="A23" s="185">
        <v>2</v>
      </c>
      <c r="B23" s="324" t="s">
        <v>492</v>
      </c>
      <c r="C23" s="325"/>
      <c r="D23" s="326"/>
      <c r="E23" s="185" t="s">
        <v>451</v>
      </c>
      <c r="F23" s="133">
        <f>F24+F26+F27+F28+F29</f>
        <v>861950</v>
      </c>
    </row>
    <row r="24" spans="1:8" ht="12.75" customHeight="1" x14ac:dyDescent="0.25">
      <c r="A24" s="302" t="s">
        <v>493</v>
      </c>
      <c r="B24" s="327" t="s">
        <v>503</v>
      </c>
      <c r="C24" s="328"/>
      <c r="D24" s="329"/>
      <c r="E24" s="321">
        <f>E19</f>
        <v>27804500</v>
      </c>
      <c r="F24" s="321">
        <f>CEILING(E24*2.9%,10)</f>
        <v>806340</v>
      </c>
    </row>
    <row r="25" spans="1:8" ht="15" customHeight="1" x14ac:dyDescent="0.25">
      <c r="A25" s="302"/>
      <c r="B25" s="330"/>
      <c r="C25" s="331"/>
      <c r="D25" s="332"/>
      <c r="E25" s="322"/>
      <c r="F25" s="323"/>
    </row>
    <row r="26" spans="1:8" ht="30" customHeight="1" x14ac:dyDescent="0.25">
      <c r="A26" s="185" t="s">
        <v>494</v>
      </c>
      <c r="B26" s="320" t="s">
        <v>495</v>
      </c>
      <c r="C26" s="320"/>
      <c r="D26" s="320"/>
      <c r="E26" s="185"/>
      <c r="F26" s="133">
        <f>ROUND(E26*0%,2)</f>
        <v>0</v>
      </c>
    </row>
    <row r="27" spans="1:8" ht="30.75" customHeight="1" x14ac:dyDescent="0.25">
      <c r="A27" s="185" t="s">
        <v>496</v>
      </c>
      <c r="B27" s="320" t="s">
        <v>497</v>
      </c>
      <c r="C27" s="320"/>
      <c r="D27" s="320"/>
      <c r="E27" s="133">
        <f>E24</f>
        <v>27804500</v>
      </c>
      <c r="F27" s="133">
        <f>CEILING(E27*0.2%,10)</f>
        <v>55610</v>
      </c>
    </row>
    <row r="28" spans="1:8" ht="27.75" customHeight="1" x14ac:dyDescent="0.25">
      <c r="A28" s="185" t="s">
        <v>498</v>
      </c>
      <c r="B28" s="320" t="s">
        <v>499</v>
      </c>
      <c r="C28" s="320"/>
      <c r="D28" s="320"/>
      <c r="E28" s="185"/>
      <c r="F28" s="133"/>
    </row>
    <row r="29" spans="1:8" ht="27" customHeight="1" x14ac:dyDescent="0.25">
      <c r="A29" s="185" t="s">
        <v>500</v>
      </c>
      <c r="B29" s="320" t="s">
        <v>499</v>
      </c>
      <c r="C29" s="320"/>
      <c r="D29" s="320"/>
      <c r="E29" s="185"/>
      <c r="F29" s="133"/>
    </row>
    <row r="30" spans="1:8" ht="27.75" customHeight="1" x14ac:dyDescent="0.25">
      <c r="A30" s="185">
        <v>3</v>
      </c>
      <c r="B30" s="320" t="s">
        <v>501</v>
      </c>
      <c r="C30" s="320"/>
      <c r="D30" s="320"/>
      <c r="E30" s="133">
        <f>E27</f>
        <v>27804500</v>
      </c>
      <c r="F30" s="133">
        <f>CEILING(E30*5.1%,10)-10-30600-334.91</f>
        <v>1387085.09</v>
      </c>
    </row>
    <row r="31" spans="1:8" ht="15" customHeight="1" x14ac:dyDescent="0.25">
      <c r="A31" s="185"/>
      <c r="B31" s="320" t="s">
        <v>450</v>
      </c>
      <c r="C31" s="320"/>
      <c r="D31" s="320"/>
      <c r="E31" s="185" t="s">
        <v>451</v>
      </c>
      <c r="F31" s="133">
        <f>F23+F18+F30</f>
        <v>8366055.0899999999</v>
      </c>
      <c r="G31" s="93">
        <f>'р.3 2019'!H72</f>
        <v>7088500</v>
      </c>
      <c r="H31" s="93">
        <f>G31-F31</f>
        <v>-1277555.0899999999</v>
      </c>
    </row>
    <row r="32" spans="1:8" ht="6.75" customHeight="1" x14ac:dyDescent="0.25">
      <c r="A32" s="91"/>
      <c r="B32" s="91"/>
      <c r="C32" s="91"/>
      <c r="D32" s="91"/>
      <c r="E32" s="91"/>
      <c r="F32" s="91"/>
    </row>
    <row r="33" spans="1:6" ht="10.5" hidden="1" customHeight="1" x14ac:dyDescent="0.25">
      <c r="A33" s="91" t="s">
        <v>504</v>
      </c>
      <c r="B33" s="91"/>
      <c r="C33" s="91"/>
      <c r="D33" s="91"/>
      <c r="E33" s="91"/>
      <c r="F33" s="91"/>
    </row>
    <row r="34" spans="1:6" ht="15" hidden="1" customHeight="1" x14ac:dyDescent="0.25">
      <c r="A34" s="91" t="s">
        <v>505</v>
      </c>
      <c r="B34" s="91"/>
      <c r="C34" s="91"/>
      <c r="D34" s="91"/>
      <c r="E34" s="91"/>
      <c r="F34" s="91"/>
    </row>
    <row r="35" spans="1:6" ht="15" hidden="1" customHeight="1" x14ac:dyDescent="0.25">
      <c r="A35" s="91" t="s">
        <v>506</v>
      </c>
      <c r="B35" s="91"/>
      <c r="C35" s="91"/>
      <c r="D35" s="91"/>
      <c r="E35" s="91"/>
      <c r="F35" s="91"/>
    </row>
    <row r="36" spans="1:6" ht="15" hidden="1" customHeight="1" x14ac:dyDescent="0.25">
      <c r="A36" s="91" t="s">
        <v>507</v>
      </c>
      <c r="B36" s="91"/>
      <c r="C36" s="91"/>
      <c r="D36" s="91"/>
      <c r="E36" s="91"/>
      <c r="F36" s="91"/>
    </row>
    <row r="37" spans="1:6" ht="15" hidden="1" customHeight="1" x14ac:dyDescent="0.25">
      <c r="A37" s="91" t="s">
        <v>508</v>
      </c>
      <c r="B37" s="91"/>
      <c r="C37" s="91"/>
      <c r="D37" s="91"/>
      <c r="E37" s="91"/>
      <c r="F37" s="91"/>
    </row>
    <row r="38" spans="1:6" ht="15" hidden="1" customHeight="1" x14ac:dyDescent="0.25">
      <c r="A38" s="91" t="s">
        <v>509</v>
      </c>
      <c r="B38" s="91"/>
      <c r="C38" s="91"/>
      <c r="D38" s="91"/>
      <c r="E38" s="91"/>
      <c r="F38" s="91"/>
    </row>
    <row r="39" spans="1:6" ht="15" hidden="1" customHeight="1" x14ac:dyDescent="0.25">
      <c r="A39" s="91" t="s">
        <v>510</v>
      </c>
      <c r="B39" s="91"/>
      <c r="C39" s="91"/>
      <c r="D39" s="91"/>
      <c r="E39" s="91"/>
      <c r="F39" s="91"/>
    </row>
    <row r="40" spans="1:6" ht="15" customHeight="1" x14ac:dyDescent="0.25"/>
    <row r="41" spans="1:6" ht="12" customHeight="1" x14ac:dyDescent="0.25">
      <c r="A41" s="341" t="s">
        <v>792</v>
      </c>
      <c r="B41" s="342"/>
      <c r="C41" s="342"/>
      <c r="D41" s="342"/>
      <c r="E41" s="342"/>
      <c r="F41" s="342"/>
    </row>
    <row r="42" spans="1:6" ht="15.75" x14ac:dyDescent="0.25">
      <c r="A42" s="308" t="s">
        <v>479</v>
      </c>
      <c r="B42" s="308"/>
      <c r="C42" s="308"/>
      <c r="D42" s="308"/>
      <c r="E42" s="308"/>
      <c r="F42" s="308"/>
    </row>
    <row r="43" spans="1:6" ht="15.75" x14ac:dyDescent="0.25">
      <c r="A43" s="308" t="s">
        <v>480</v>
      </c>
      <c r="B43" s="308"/>
      <c r="C43" s="308"/>
      <c r="D43" s="308"/>
      <c r="E43" s="308"/>
      <c r="F43" s="308"/>
    </row>
    <row r="44" spans="1:6" ht="15.75" x14ac:dyDescent="0.25">
      <c r="A44" s="308" t="s">
        <v>481</v>
      </c>
      <c r="B44" s="308"/>
      <c r="C44" s="308"/>
      <c r="D44" s="308"/>
      <c r="E44" s="308"/>
      <c r="F44" s="308"/>
    </row>
    <row r="45" spans="1:6" ht="15.75" x14ac:dyDescent="0.25">
      <c r="A45" s="308" t="s">
        <v>482</v>
      </c>
      <c r="B45" s="308"/>
      <c r="C45" s="308"/>
      <c r="D45" s="308"/>
      <c r="E45" s="308"/>
      <c r="F45" s="308"/>
    </row>
    <row r="46" spans="1:6" ht="15.75" x14ac:dyDescent="0.25">
      <c r="A46" s="333" t="s">
        <v>791</v>
      </c>
      <c r="B46" s="333"/>
      <c r="C46" s="333"/>
      <c r="D46" s="333"/>
      <c r="E46" s="333"/>
      <c r="F46" s="333"/>
    </row>
    <row r="47" spans="1:6" ht="60" x14ac:dyDescent="0.25">
      <c r="A47" s="234" t="s">
        <v>442</v>
      </c>
      <c r="B47" s="302" t="s">
        <v>483</v>
      </c>
      <c r="C47" s="302"/>
      <c r="D47" s="302"/>
      <c r="E47" s="234" t="s">
        <v>484</v>
      </c>
      <c r="F47" s="234" t="s">
        <v>485</v>
      </c>
    </row>
    <row r="48" spans="1:6" x14ac:dyDescent="0.25">
      <c r="A48" s="234">
        <v>1</v>
      </c>
      <c r="B48" s="302">
        <v>2</v>
      </c>
      <c r="C48" s="302"/>
      <c r="D48" s="302"/>
      <c r="E48" s="234">
        <v>3</v>
      </c>
      <c r="F48" s="234">
        <v>4</v>
      </c>
    </row>
    <row r="49" spans="1:8" ht="19.5" customHeight="1" x14ac:dyDescent="0.25">
      <c r="A49" s="234">
        <v>1</v>
      </c>
      <c r="B49" s="324" t="s">
        <v>486</v>
      </c>
      <c r="C49" s="325"/>
      <c r="D49" s="326"/>
      <c r="E49" s="234" t="s">
        <v>451</v>
      </c>
      <c r="F49" s="133">
        <f>F50+F52+F53</f>
        <v>436960</v>
      </c>
    </row>
    <row r="50" spans="1:8" x14ac:dyDescent="0.25">
      <c r="A50" s="334" t="s">
        <v>487</v>
      </c>
      <c r="B50" s="335" t="s">
        <v>502</v>
      </c>
      <c r="C50" s="336"/>
      <c r="D50" s="337"/>
      <c r="E50" s="321">
        <f>'расч. 211(2000)2018'!J47+'расч. 211(2000)2018'!J61</f>
        <v>1986001</v>
      </c>
      <c r="F50" s="321">
        <f>CEILING(E50*22%,10)+30</f>
        <v>436960</v>
      </c>
    </row>
    <row r="51" spans="1:8" ht="4.5" customHeight="1" x14ac:dyDescent="0.25">
      <c r="A51" s="322"/>
      <c r="B51" s="338"/>
      <c r="C51" s="339"/>
      <c r="D51" s="340"/>
      <c r="E51" s="323"/>
      <c r="F51" s="323"/>
    </row>
    <row r="52" spans="1:8" x14ac:dyDescent="0.25">
      <c r="A52" s="234" t="s">
        <v>488</v>
      </c>
      <c r="B52" s="320" t="s">
        <v>489</v>
      </c>
      <c r="C52" s="320"/>
      <c r="D52" s="320"/>
      <c r="E52" s="234"/>
      <c r="F52" s="234">
        <f>ROUND(E52*10%,2)</f>
        <v>0</v>
      </c>
    </row>
    <row r="53" spans="1:8" ht="27.75" customHeight="1" x14ac:dyDescent="0.25">
      <c r="A53" s="234" t="s">
        <v>490</v>
      </c>
      <c r="B53" s="320" t="s">
        <v>491</v>
      </c>
      <c r="C53" s="320"/>
      <c r="D53" s="320"/>
      <c r="E53" s="234"/>
      <c r="F53" s="234"/>
    </row>
    <row r="54" spans="1:8" ht="16.5" customHeight="1" x14ac:dyDescent="0.25">
      <c r="A54" s="234">
        <v>2</v>
      </c>
      <c r="B54" s="324" t="s">
        <v>492</v>
      </c>
      <c r="C54" s="325"/>
      <c r="D54" s="326"/>
      <c r="E54" s="234" t="s">
        <v>451</v>
      </c>
      <c r="F54" s="133">
        <f>F55+F57+F58+F59+F60</f>
        <v>61450</v>
      </c>
    </row>
    <row r="55" spans="1:8" x14ac:dyDescent="0.25">
      <c r="A55" s="302" t="s">
        <v>493</v>
      </c>
      <c r="B55" s="327" t="s">
        <v>503</v>
      </c>
      <c r="C55" s="328"/>
      <c r="D55" s="329"/>
      <c r="E55" s="321">
        <f>E50</f>
        <v>1986001</v>
      </c>
      <c r="F55" s="321">
        <f>CEILING(E55*2.9%,10)-130</f>
        <v>57470</v>
      </c>
    </row>
    <row r="56" spans="1:8" x14ac:dyDescent="0.25">
      <c r="A56" s="302"/>
      <c r="B56" s="330"/>
      <c r="C56" s="331"/>
      <c r="D56" s="332"/>
      <c r="E56" s="322"/>
      <c r="F56" s="323"/>
    </row>
    <row r="57" spans="1:8" ht="30" customHeight="1" x14ac:dyDescent="0.25">
      <c r="A57" s="234" t="s">
        <v>494</v>
      </c>
      <c r="B57" s="320" t="s">
        <v>495</v>
      </c>
      <c r="C57" s="320"/>
      <c r="D57" s="320"/>
      <c r="E57" s="234"/>
      <c r="F57" s="133">
        <f>ROUND(E57*0%,2)</f>
        <v>0</v>
      </c>
    </row>
    <row r="58" spans="1:8" ht="27.75" customHeight="1" x14ac:dyDescent="0.25">
      <c r="A58" s="234" t="s">
        <v>496</v>
      </c>
      <c r="B58" s="320" t="s">
        <v>497</v>
      </c>
      <c r="C58" s="320"/>
      <c r="D58" s="320"/>
      <c r="E58" s="133">
        <f>E55</f>
        <v>1986001</v>
      </c>
      <c r="F58" s="133">
        <f>CEILING(E58*0.2%,10)</f>
        <v>3980</v>
      </c>
    </row>
    <row r="59" spans="1:8" ht="30" customHeight="1" x14ac:dyDescent="0.25">
      <c r="A59" s="234" t="s">
        <v>498</v>
      </c>
      <c r="B59" s="320" t="s">
        <v>499</v>
      </c>
      <c r="C59" s="320"/>
      <c r="D59" s="320"/>
      <c r="E59" s="234"/>
      <c r="F59" s="133"/>
    </row>
    <row r="60" spans="1:8" ht="29.25" customHeight="1" x14ac:dyDescent="0.25">
      <c r="A60" s="234" t="s">
        <v>500</v>
      </c>
      <c r="B60" s="320" t="s">
        <v>499</v>
      </c>
      <c r="C60" s="320"/>
      <c r="D60" s="320"/>
      <c r="E60" s="234"/>
      <c r="F60" s="133"/>
    </row>
    <row r="61" spans="1:8" ht="33.75" customHeight="1" x14ac:dyDescent="0.25">
      <c r="A61" s="234">
        <v>3</v>
      </c>
      <c r="B61" s="320" t="s">
        <v>501</v>
      </c>
      <c r="C61" s="320"/>
      <c r="D61" s="320"/>
      <c r="E61" s="133">
        <f>E58</f>
        <v>1986001</v>
      </c>
      <c r="F61" s="133">
        <f>CEILING(E61*5.1%,10)</f>
        <v>101290</v>
      </c>
    </row>
    <row r="62" spans="1:8" x14ac:dyDescent="0.25">
      <c r="A62" s="234"/>
      <c r="B62" s="320" t="s">
        <v>450</v>
      </c>
      <c r="C62" s="320"/>
      <c r="D62" s="320"/>
      <c r="E62" s="234" t="s">
        <v>451</v>
      </c>
      <c r="F62" s="133">
        <f>F54+F49+F61</f>
        <v>599700</v>
      </c>
      <c r="G62" s="70">
        <f>'р.3 2019'!L72</f>
        <v>1327000</v>
      </c>
      <c r="H62" s="93">
        <f>G62-F62</f>
        <v>727300</v>
      </c>
    </row>
    <row r="63" spans="1:8" ht="12" customHeight="1" x14ac:dyDescent="0.25">
      <c r="A63" s="91"/>
      <c r="B63" s="91"/>
      <c r="C63" s="91"/>
      <c r="D63" s="91"/>
      <c r="E63" s="91"/>
      <c r="F63" s="91"/>
    </row>
    <row r="64" spans="1:8" x14ac:dyDescent="0.25">
      <c r="A64" s="91" t="s">
        <v>504</v>
      </c>
      <c r="B64" s="91"/>
      <c r="C64" s="91"/>
      <c r="D64" s="91"/>
      <c r="E64" s="91"/>
      <c r="F64" s="91"/>
    </row>
    <row r="65" spans="1:6" x14ac:dyDescent="0.25">
      <c r="A65" s="91" t="s">
        <v>505</v>
      </c>
      <c r="B65" s="91"/>
      <c r="C65" s="91"/>
      <c r="D65" s="91"/>
      <c r="E65" s="91"/>
      <c r="F65" s="91"/>
    </row>
    <row r="66" spans="1:6" x14ac:dyDescent="0.25">
      <c r="A66" s="91" t="s">
        <v>506</v>
      </c>
      <c r="B66" s="91"/>
      <c r="C66" s="91"/>
      <c r="D66" s="91"/>
      <c r="E66" s="91"/>
      <c r="F66" s="91"/>
    </row>
    <row r="67" spans="1:6" x14ac:dyDescent="0.25">
      <c r="A67" s="91" t="s">
        <v>507</v>
      </c>
      <c r="B67" s="91"/>
      <c r="C67" s="91"/>
      <c r="D67" s="91"/>
      <c r="E67" s="91"/>
      <c r="F67" s="91"/>
    </row>
    <row r="68" spans="1:6" x14ac:dyDescent="0.25">
      <c r="A68" s="91" t="s">
        <v>508</v>
      </c>
      <c r="B68" s="91"/>
      <c r="C68" s="91"/>
      <c r="D68" s="91"/>
      <c r="E68" s="91"/>
      <c r="F68" s="91"/>
    </row>
    <row r="69" spans="1:6" x14ac:dyDescent="0.25">
      <c r="A69" s="91" t="s">
        <v>509</v>
      </c>
      <c r="B69" s="91"/>
      <c r="C69" s="91"/>
      <c r="D69" s="91"/>
      <c r="E69" s="91"/>
      <c r="F69" s="91"/>
    </row>
    <row r="70" spans="1:6" x14ac:dyDescent="0.25">
      <c r="A70" s="91" t="s">
        <v>510</v>
      </c>
      <c r="B70" s="91"/>
      <c r="C70" s="91"/>
      <c r="D70" s="91"/>
      <c r="E70" s="91"/>
      <c r="F70" s="91"/>
    </row>
  </sheetData>
  <mergeCells count="54">
    <mergeCell ref="B21:D21"/>
    <mergeCell ref="B22:D22"/>
    <mergeCell ref="B23:D23"/>
    <mergeCell ref="F24:F25"/>
    <mergeCell ref="B26:D26"/>
    <mergeCell ref="A24:A25"/>
    <mergeCell ref="B24:D25"/>
    <mergeCell ref="B31:D31"/>
    <mergeCell ref="B30:D30"/>
    <mergeCell ref="E24:E25"/>
    <mergeCell ref="B27:D27"/>
    <mergeCell ref="B28:D28"/>
    <mergeCell ref="B29:D29"/>
    <mergeCell ref="A1:F1"/>
    <mergeCell ref="A2:F2"/>
    <mergeCell ref="A10:F10"/>
    <mergeCell ref="A11:F11"/>
    <mergeCell ref="A19:A20"/>
    <mergeCell ref="B19:D20"/>
    <mergeCell ref="E19:E20"/>
    <mergeCell ref="F19:F20"/>
    <mergeCell ref="B16:D16"/>
    <mergeCell ref="B17:D17"/>
    <mergeCell ref="B18:D18"/>
    <mergeCell ref="A12:F12"/>
    <mergeCell ref="A13:F13"/>
    <mergeCell ref="A14:F14"/>
    <mergeCell ref="A15:F15"/>
    <mergeCell ref="A41:F41"/>
    <mergeCell ref="A42:F42"/>
    <mergeCell ref="A43:F43"/>
    <mergeCell ref="A44:F44"/>
    <mergeCell ref="A45:F45"/>
    <mergeCell ref="A46:F46"/>
    <mergeCell ref="B47:D47"/>
    <mergeCell ref="B48:D48"/>
    <mergeCell ref="B49:D49"/>
    <mergeCell ref="A50:A51"/>
    <mergeCell ref="B50:D51"/>
    <mergeCell ref="E50:E51"/>
    <mergeCell ref="F50:F51"/>
    <mergeCell ref="B52:D52"/>
    <mergeCell ref="B53:D53"/>
    <mergeCell ref="B54:D54"/>
    <mergeCell ref="A55:A56"/>
    <mergeCell ref="B55:D56"/>
    <mergeCell ref="B60:D60"/>
    <mergeCell ref="B61:D61"/>
    <mergeCell ref="B62:D62"/>
    <mergeCell ref="E55:E56"/>
    <mergeCell ref="F55:F56"/>
    <mergeCell ref="B57:D57"/>
    <mergeCell ref="B58:D58"/>
    <mergeCell ref="B59:D59"/>
  </mergeCells>
  <phoneticPr fontId="38" type="noConversion"/>
  <hyperlinks>
    <hyperlink ref="B28" location="P1250" display="P1250"/>
    <hyperlink ref="B29" location="P1250" display="P1250"/>
    <hyperlink ref="A35" r:id="rId1" display="consultantplus://offline/ref=160D23074E6765C55EF84811A89119E895463C6394CC40BB38A7EE3CC53AJ"/>
    <hyperlink ref="B59" location="P1250" display="P1250"/>
    <hyperlink ref="B60" location="P1250" display="P1250"/>
    <hyperlink ref="A66" r:id="rId2" display="consultantplus://offline/ref=160D23074E6765C55EF84811A89119E895463C6394CC40BB38A7EE3CC53AJ"/>
  </hyperlinks>
  <pageMargins left="1.0629921259842521" right="0.47244094488188981" top="0.39370078740157483" bottom="0.39370078740157483" header="0.19685039370078741" footer="0.19685039370078741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opLeftCell="A10" workbookViewId="0">
      <selection activeCell="D133" sqref="D133"/>
    </sheetView>
  </sheetViews>
  <sheetFormatPr defaultRowHeight="15" x14ac:dyDescent="0.25"/>
  <cols>
    <col min="1" max="1" width="9.140625" style="70"/>
    <col min="2" max="2" width="22.42578125" style="70" customWidth="1"/>
    <col min="3" max="3" width="9.140625" style="70"/>
    <col min="4" max="4" width="18.140625" style="70" customWidth="1"/>
    <col min="5" max="5" width="24.7109375" style="221" customWidth="1"/>
    <col min="6" max="6" width="13.5703125" style="70" customWidth="1"/>
    <col min="7" max="7" width="5.7109375" style="70" customWidth="1"/>
    <col min="8" max="8" width="14.5703125" style="70" customWidth="1"/>
    <col min="9" max="16384" width="9.140625" style="70"/>
  </cols>
  <sheetData>
    <row r="1" spans="1:10" ht="15.75" x14ac:dyDescent="0.25">
      <c r="A1" s="354" t="s">
        <v>79</v>
      </c>
      <c r="B1" s="354"/>
      <c r="C1" s="354"/>
      <c r="D1" s="354"/>
      <c r="E1" s="354"/>
    </row>
    <row r="2" spans="1:10" ht="42.75" customHeight="1" x14ac:dyDescent="0.25">
      <c r="A2" s="353" t="s">
        <v>10</v>
      </c>
      <c r="B2" s="353"/>
      <c r="C2" s="353"/>
      <c r="D2" s="353"/>
      <c r="E2" s="353"/>
      <c r="F2" s="96"/>
      <c r="G2" s="96"/>
      <c r="H2" s="96"/>
      <c r="I2" s="96"/>
      <c r="J2" s="96"/>
    </row>
    <row r="3" spans="1:10" ht="15.75" x14ac:dyDescent="0.25">
      <c r="A3" s="102" t="s">
        <v>3</v>
      </c>
      <c r="B3" s="216"/>
      <c r="C3" s="350" t="s">
        <v>26</v>
      </c>
      <c r="D3" s="350" t="s">
        <v>4</v>
      </c>
      <c r="E3" s="110"/>
    </row>
    <row r="4" spans="1:10" ht="15.75" x14ac:dyDescent="0.25">
      <c r="A4" s="103" t="s">
        <v>5</v>
      </c>
      <c r="B4" s="103" t="s">
        <v>6</v>
      </c>
      <c r="C4" s="351"/>
      <c r="D4" s="351"/>
      <c r="E4" s="112" t="s">
        <v>603</v>
      </c>
    </row>
    <row r="5" spans="1:10" ht="44.25" customHeight="1" x14ac:dyDescent="0.25">
      <c r="A5" s="104" t="s">
        <v>7</v>
      </c>
      <c r="B5" s="105"/>
      <c r="C5" s="352"/>
      <c r="D5" s="352"/>
      <c r="E5" s="111" t="s">
        <v>8</v>
      </c>
    </row>
    <row r="6" spans="1:10" ht="15.75" x14ac:dyDescent="0.25">
      <c r="A6" s="106">
        <v>1</v>
      </c>
      <c r="B6" s="107">
        <v>2</v>
      </c>
      <c r="C6" s="106">
        <v>3</v>
      </c>
      <c r="D6" s="106">
        <v>4</v>
      </c>
      <c r="E6" s="198">
        <v>5</v>
      </c>
    </row>
    <row r="7" spans="1:10" ht="15.75" x14ac:dyDescent="0.25">
      <c r="A7" s="104">
        <v>1</v>
      </c>
      <c r="B7" s="217" t="s">
        <v>172</v>
      </c>
      <c r="C7" s="108"/>
      <c r="D7" s="218" t="s">
        <v>795</v>
      </c>
      <c r="E7" s="113">
        <v>35000</v>
      </c>
    </row>
    <row r="8" spans="1:10" ht="15.75" x14ac:dyDescent="0.25">
      <c r="A8" s="104">
        <v>2</v>
      </c>
      <c r="B8" s="217" t="s">
        <v>173</v>
      </c>
      <c r="C8" s="108"/>
      <c r="D8" s="218" t="s">
        <v>795</v>
      </c>
      <c r="E8" s="113">
        <v>35000</v>
      </c>
    </row>
    <row r="9" spans="1:10" ht="15.75" x14ac:dyDescent="0.25">
      <c r="A9" s="104">
        <v>3</v>
      </c>
      <c r="B9" s="217" t="s">
        <v>174</v>
      </c>
      <c r="C9" s="108"/>
      <c r="D9" s="218" t="s">
        <v>796</v>
      </c>
      <c r="E9" s="113">
        <v>35000</v>
      </c>
    </row>
    <row r="10" spans="1:10" ht="15.75" x14ac:dyDescent="0.25">
      <c r="A10" s="104">
        <v>4</v>
      </c>
      <c r="B10" s="217" t="s">
        <v>175</v>
      </c>
      <c r="C10" s="108"/>
      <c r="D10" s="218" t="s">
        <v>797</v>
      </c>
      <c r="E10" s="113">
        <v>27600</v>
      </c>
    </row>
    <row r="11" spans="1:10" ht="15.75" x14ac:dyDescent="0.25">
      <c r="A11" s="104">
        <v>5</v>
      </c>
      <c r="B11" s="217" t="s">
        <v>176</v>
      </c>
      <c r="C11" s="108">
        <v>1</v>
      </c>
      <c r="D11" s="218" t="s">
        <v>798</v>
      </c>
      <c r="E11" s="113">
        <v>80000</v>
      </c>
      <c r="H11" s="70" t="s">
        <v>96</v>
      </c>
    </row>
    <row r="12" spans="1:10" ht="15.75" x14ac:dyDescent="0.25">
      <c r="A12" s="104">
        <v>6</v>
      </c>
      <c r="B12" s="217" t="s">
        <v>177</v>
      </c>
      <c r="C12" s="108">
        <v>1</v>
      </c>
      <c r="D12" s="218" t="s">
        <v>799</v>
      </c>
      <c r="E12" s="113">
        <v>80000</v>
      </c>
    </row>
    <row r="13" spans="1:10" ht="15.75" x14ac:dyDescent="0.25">
      <c r="A13" s="104">
        <v>7</v>
      </c>
      <c r="B13" s="217" t="s">
        <v>178</v>
      </c>
      <c r="C13" s="108"/>
      <c r="D13" s="218" t="s">
        <v>800</v>
      </c>
      <c r="E13" s="113">
        <v>30000</v>
      </c>
    </row>
    <row r="14" spans="1:10" ht="15.75" x14ac:dyDescent="0.25">
      <c r="A14" s="104">
        <v>8</v>
      </c>
      <c r="B14" s="217" t="s">
        <v>179</v>
      </c>
      <c r="C14" s="108"/>
      <c r="D14" s="218" t="s">
        <v>795</v>
      </c>
      <c r="E14" s="113">
        <v>35000</v>
      </c>
    </row>
    <row r="15" spans="1:10" ht="15.75" x14ac:dyDescent="0.25">
      <c r="A15" s="104">
        <v>9</v>
      </c>
      <c r="B15" s="217" t="s">
        <v>182</v>
      </c>
      <c r="C15" s="108"/>
      <c r="D15" s="218" t="s">
        <v>795</v>
      </c>
      <c r="E15" s="113">
        <v>35000</v>
      </c>
    </row>
    <row r="16" spans="1:10" ht="15.75" x14ac:dyDescent="0.25">
      <c r="A16" s="104">
        <v>10</v>
      </c>
      <c r="B16" s="217" t="s">
        <v>180</v>
      </c>
      <c r="C16" s="108"/>
      <c r="D16" s="218" t="s">
        <v>800</v>
      </c>
      <c r="E16" s="113">
        <v>30000</v>
      </c>
    </row>
    <row r="17" spans="1:10" ht="15.75" x14ac:dyDescent="0.25">
      <c r="A17" s="104">
        <v>11</v>
      </c>
      <c r="B17" s="217" t="s">
        <v>181</v>
      </c>
      <c r="C17" s="108"/>
      <c r="D17" s="218" t="s">
        <v>800</v>
      </c>
      <c r="E17" s="113">
        <f>60000-12022.5</f>
        <v>47977.5</v>
      </c>
    </row>
    <row r="18" spans="1:10" ht="15.75" hidden="1" x14ac:dyDescent="0.25">
      <c r="A18" s="104"/>
      <c r="B18" s="217"/>
      <c r="C18" s="108"/>
      <c r="D18" s="218"/>
      <c r="E18" s="113"/>
    </row>
    <row r="19" spans="1:10" s="243" customFormat="1" ht="15.75" x14ac:dyDescent="0.25">
      <c r="A19" s="104"/>
      <c r="B19" s="244" t="s">
        <v>9</v>
      </c>
      <c r="C19" s="104"/>
      <c r="D19" s="245"/>
      <c r="E19" s="219">
        <f>SUM(E7:E18)</f>
        <v>470577.5</v>
      </c>
      <c r="H19" s="243">
        <f>'р.3 2019'!M61</f>
        <v>390900</v>
      </c>
      <c r="I19" s="246">
        <f>E19-H19</f>
        <v>79677.5</v>
      </c>
    </row>
    <row r="20" spans="1:10" ht="15.75" x14ac:dyDescent="0.25">
      <c r="A20" s="101"/>
      <c r="B20" s="101"/>
      <c r="C20" s="101"/>
      <c r="D20" s="101"/>
      <c r="E20" s="114">
        <v>300000</v>
      </c>
    </row>
    <row r="22" spans="1:10" ht="27" customHeight="1" x14ac:dyDescent="0.25">
      <c r="A22" s="355" t="s">
        <v>81</v>
      </c>
      <c r="B22" s="356"/>
      <c r="C22" s="356"/>
      <c r="D22" s="356"/>
      <c r="E22" s="356"/>
      <c r="F22" s="356"/>
    </row>
    <row r="23" spans="1:10" ht="38.25" customHeight="1" x14ac:dyDescent="0.25">
      <c r="A23" s="345" t="s">
        <v>606</v>
      </c>
      <c r="B23" s="345"/>
      <c r="C23" s="345"/>
      <c r="D23" s="345"/>
      <c r="E23" s="345"/>
      <c r="F23" s="345"/>
      <c r="G23" s="345"/>
      <c r="H23" s="240"/>
      <c r="I23" s="240"/>
      <c r="J23" s="240"/>
    </row>
    <row r="24" spans="1:10" ht="46.5" customHeight="1" x14ac:dyDescent="0.25">
      <c r="A24" s="237" t="s">
        <v>442</v>
      </c>
      <c r="B24" s="311" t="s">
        <v>454</v>
      </c>
      <c r="C24" s="311"/>
      <c r="D24" s="238" t="s">
        <v>455</v>
      </c>
      <c r="E24" s="237" t="s">
        <v>456</v>
      </c>
      <c r="F24" s="311" t="s">
        <v>458</v>
      </c>
      <c r="G24" s="311"/>
    </row>
    <row r="25" spans="1:10" ht="15.75" x14ac:dyDescent="0.25">
      <c r="A25" s="237">
        <v>1</v>
      </c>
      <c r="B25" s="311">
        <v>2</v>
      </c>
      <c r="C25" s="311"/>
      <c r="D25" s="238">
        <v>3</v>
      </c>
      <c r="E25" s="238">
        <v>4</v>
      </c>
      <c r="F25" s="311">
        <v>6</v>
      </c>
      <c r="G25" s="311"/>
    </row>
    <row r="26" spans="1:10" ht="15.75" customHeight="1" x14ac:dyDescent="0.25">
      <c r="A26" s="346" t="s">
        <v>793</v>
      </c>
      <c r="B26" s="347"/>
      <c r="C26" s="347"/>
      <c r="D26" s="347"/>
      <c r="E26" s="347"/>
      <c r="F26" s="347"/>
      <c r="G26" s="348"/>
    </row>
    <row r="27" spans="1:10" ht="64.5" customHeight="1" x14ac:dyDescent="0.25">
      <c r="A27" s="237">
        <v>1</v>
      </c>
      <c r="B27" s="312" t="s">
        <v>794</v>
      </c>
      <c r="C27" s="313"/>
      <c r="D27" s="236">
        <v>2061.5500000000002</v>
      </c>
      <c r="E27" s="237">
        <v>2</v>
      </c>
      <c r="F27" s="310">
        <f>E27*D27</f>
        <v>4123.1000000000004</v>
      </c>
      <c r="G27" s="310"/>
    </row>
    <row r="28" spans="1:10" s="243" customFormat="1" ht="15.75" x14ac:dyDescent="0.25">
      <c r="A28" s="241" t="s">
        <v>450</v>
      </c>
      <c r="B28" s="349"/>
      <c r="C28" s="349"/>
      <c r="D28" s="242"/>
      <c r="E28" s="242"/>
      <c r="F28" s="343">
        <f>SUM(F27)</f>
        <v>4123.1000000000004</v>
      </c>
      <c r="G28" s="344"/>
      <c r="H28" s="243">
        <f>'р.3 2019'!H65</f>
        <v>0</v>
      </c>
      <c r="I28" s="247">
        <f>F28-H28</f>
        <v>4123.1000000000004</v>
      </c>
    </row>
    <row r="29" spans="1:10" ht="18" customHeight="1" x14ac:dyDescent="0.25">
      <c r="A29" s="346" t="s">
        <v>793</v>
      </c>
      <c r="B29" s="347"/>
      <c r="C29" s="347"/>
      <c r="D29" s="347"/>
      <c r="E29" s="347"/>
      <c r="F29" s="347"/>
      <c r="G29" s="348"/>
    </row>
    <row r="30" spans="1:10" ht="60" customHeight="1" x14ac:dyDescent="0.25">
      <c r="A30" s="251">
        <v>1</v>
      </c>
      <c r="B30" s="312" t="s">
        <v>794</v>
      </c>
      <c r="C30" s="313"/>
      <c r="D30" s="250">
        <v>1122.9000000000001</v>
      </c>
      <c r="E30" s="251">
        <v>1</v>
      </c>
      <c r="F30" s="310">
        <f>E30*D30</f>
        <v>1122.9000000000001</v>
      </c>
      <c r="G30" s="310"/>
    </row>
    <row r="31" spans="1:10" ht="15.75" x14ac:dyDescent="0.25">
      <c r="A31" s="241" t="s">
        <v>450</v>
      </c>
      <c r="B31" s="349"/>
      <c r="C31" s="349"/>
      <c r="D31" s="252"/>
      <c r="E31" s="252"/>
      <c r="F31" s="343">
        <f>SUM(F30)</f>
        <v>1122.9000000000001</v>
      </c>
      <c r="G31" s="344"/>
      <c r="H31" s="243">
        <f>'р.3 2019'!F65</f>
        <v>0</v>
      </c>
      <c r="I31" s="247">
        <f>F31-H31</f>
        <v>1122.9000000000001</v>
      </c>
    </row>
  </sheetData>
  <mergeCells count="20">
    <mergeCell ref="A29:G29"/>
    <mergeCell ref="B30:C30"/>
    <mergeCell ref="F30:G30"/>
    <mergeCell ref="B31:C31"/>
    <mergeCell ref="F31:G31"/>
    <mergeCell ref="C3:C5"/>
    <mergeCell ref="D3:D5"/>
    <mergeCell ref="A2:E2"/>
    <mergeCell ref="A1:E1"/>
    <mergeCell ref="A22:F22"/>
    <mergeCell ref="F28:G28"/>
    <mergeCell ref="A23:G23"/>
    <mergeCell ref="A26:G26"/>
    <mergeCell ref="B28:C28"/>
    <mergeCell ref="B27:C27"/>
    <mergeCell ref="F27:G27"/>
    <mergeCell ref="B25:C25"/>
    <mergeCell ref="F25:G25"/>
    <mergeCell ref="B24:C24"/>
    <mergeCell ref="F24:G24"/>
  </mergeCells>
  <phoneticPr fontId="38" type="noConversion"/>
  <pageMargins left="0.9055118110236221" right="0.70866141732283472" top="0.35433070866141736" bottom="0.74803149606299213" header="0.31496062992125984" footer="0.31496062992125984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54"/>
  <sheetViews>
    <sheetView topLeftCell="A40" zoomScale="98" zoomScaleNormal="98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28.28515625" style="70" customWidth="1"/>
    <col min="4" max="5" width="9.28515625" style="70" customWidth="1"/>
    <col min="6" max="6" width="5.5703125" style="70" customWidth="1"/>
    <col min="7" max="7" width="9.28515625" style="70" customWidth="1"/>
    <col min="8" max="8" width="7.5703125" style="70" customWidth="1"/>
    <col min="9" max="9" width="7.28515625" style="70" customWidth="1"/>
    <col min="10" max="10" width="13.7109375" style="70" customWidth="1"/>
    <col min="11" max="11" width="14.7109375" style="70" bestFit="1" customWidth="1"/>
    <col min="12" max="12" width="11.7109375" style="70" customWidth="1"/>
    <col min="13" max="16384" width="9.140625" style="70"/>
  </cols>
  <sheetData>
    <row r="1" spans="1:10" ht="15.75" x14ac:dyDescent="0.25">
      <c r="A1" s="354" t="s">
        <v>79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53.25" customHeight="1" x14ac:dyDescent="0.25">
      <c r="A2" s="307" t="s">
        <v>27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15.75" x14ac:dyDescent="0.25">
      <c r="A3" s="308" t="s">
        <v>782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 ht="77.25" customHeight="1" x14ac:dyDescent="0.25">
      <c r="A4" s="187" t="s">
        <v>442</v>
      </c>
      <c r="B4" s="311" t="s">
        <v>454</v>
      </c>
      <c r="C4" s="311"/>
      <c r="D4" s="311" t="s">
        <v>455</v>
      </c>
      <c r="E4" s="311"/>
      <c r="F4" s="311"/>
      <c r="G4" s="187" t="s">
        <v>13</v>
      </c>
      <c r="H4" s="187" t="s">
        <v>697</v>
      </c>
      <c r="I4" s="311" t="s">
        <v>458</v>
      </c>
      <c r="J4" s="311"/>
    </row>
    <row r="5" spans="1:10" ht="15.75" x14ac:dyDescent="0.25">
      <c r="A5" s="187">
        <v>1</v>
      </c>
      <c r="B5" s="311">
        <v>2</v>
      </c>
      <c r="C5" s="311"/>
      <c r="D5" s="311">
        <v>3</v>
      </c>
      <c r="E5" s="311"/>
      <c r="F5" s="311"/>
      <c r="G5" s="187">
        <v>4</v>
      </c>
      <c r="H5" s="187">
        <v>5</v>
      </c>
      <c r="I5" s="311">
        <v>6</v>
      </c>
      <c r="J5" s="311"/>
    </row>
    <row r="6" spans="1:10" ht="32.25" customHeight="1" x14ac:dyDescent="0.25">
      <c r="A6" s="187">
        <v>1</v>
      </c>
      <c r="B6" s="309" t="s">
        <v>699</v>
      </c>
      <c r="C6" s="309"/>
      <c r="D6" s="310">
        <v>800</v>
      </c>
      <c r="E6" s="310"/>
      <c r="F6" s="310"/>
      <c r="G6" s="187">
        <v>20</v>
      </c>
      <c r="H6" s="187">
        <v>7</v>
      </c>
      <c r="I6" s="310">
        <f t="shared" ref="I6:I51" si="0">D6*G6*H6</f>
        <v>112000</v>
      </c>
      <c r="J6" s="310"/>
    </row>
    <row r="7" spans="1:10" ht="33.75" customHeight="1" x14ac:dyDescent="0.25">
      <c r="A7" s="187">
        <v>2</v>
      </c>
      <c r="B7" s="312" t="s">
        <v>12</v>
      </c>
      <c r="C7" s="313"/>
      <c r="D7" s="357">
        <v>200</v>
      </c>
      <c r="E7" s="358"/>
      <c r="F7" s="359"/>
      <c r="G7" s="187">
        <v>10</v>
      </c>
      <c r="H7" s="187">
        <v>8</v>
      </c>
      <c r="I7" s="310">
        <f>D7*G7*H7</f>
        <v>16000</v>
      </c>
      <c r="J7" s="310"/>
    </row>
    <row r="8" spans="1:10" ht="33.75" customHeight="1" x14ac:dyDescent="0.25">
      <c r="A8" s="187">
        <v>3</v>
      </c>
      <c r="B8" s="312" t="s">
        <v>698</v>
      </c>
      <c r="C8" s="313"/>
      <c r="D8" s="310">
        <v>2020</v>
      </c>
      <c r="E8" s="310"/>
      <c r="F8" s="310"/>
      <c r="G8" s="187">
        <v>10</v>
      </c>
      <c r="H8" s="98">
        <v>1</v>
      </c>
      <c r="I8" s="310">
        <f t="shared" si="0"/>
        <v>20200</v>
      </c>
      <c r="J8" s="310"/>
    </row>
    <row r="9" spans="1:10" ht="33.75" customHeight="1" x14ac:dyDescent="0.25">
      <c r="A9" s="187">
        <v>4</v>
      </c>
      <c r="B9" s="309" t="s">
        <v>14</v>
      </c>
      <c r="C9" s="309"/>
      <c r="D9" s="310">
        <v>350</v>
      </c>
      <c r="E9" s="310"/>
      <c r="F9" s="310"/>
      <c r="G9" s="187">
        <v>10</v>
      </c>
      <c r="H9" s="187">
        <v>4</v>
      </c>
      <c r="I9" s="310">
        <f t="shared" si="0"/>
        <v>14000</v>
      </c>
      <c r="J9" s="310"/>
    </row>
    <row r="10" spans="1:10" ht="33.75" customHeight="1" x14ac:dyDescent="0.25">
      <c r="A10" s="187">
        <v>5</v>
      </c>
      <c r="B10" s="312" t="s">
        <v>15</v>
      </c>
      <c r="C10" s="313"/>
      <c r="D10" s="357">
        <v>200</v>
      </c>
      <c r="E10" s="358"/>
      <c r="F10" s="359"/>
      <c r="G10" s="187">
        <v>10</v>
      </c>
      <c r="H10" s="187">
        <v>6</v>
      </c>
      <c r="I10" s="310">
        <f t="shared" si="0"/>
        <v>12000</v>
      </c>
      <c r="J10" s="310"/>
    </row>
    <row r="11" spans="1:10" ht="34.5" customHeight="1" x14ac:dyDescent="0.25">
      <c r="A11" s="187">
        <v>7</v>
      </c>
      <c r="B11" s="309" t="s">
        <v>701</v>
      </c>
      <c r="C11" s="309"/>
      <c r="D11" s="310">
        <v>800</v>
      </c>
      <c r="E11" s="310"/>
      <c r="F11" s="310"/>
      <c r="G11" s="187">
        <v>8</v>
      </c>
      <c r="H11" s="187">
        <v>3</v>
      </c>
      <c r="I11" s="310">
        <f t="shared" si="0"/>
        <v>19200</v>
      </c>
      <c r="J11" s="310"/>
    </row>
    <row r="12" spans="1:10" ht="34.5" customHeight="1" x14ac:dyDescent="0.25">
      <c r="A12" s="187">
        <v>8</v>
      </c>
      <c r="B12" s="312" t="s">
        <v>16</v>
      </c>
      <c r="C12" s="313"/>
      <c r="D12" s="357">
        <v>200</v>
      </c>
      <c r="E12" s="358"/>
      <c r="F12" s="359"/>
      <c r="G12" s="187">
        <v>8</v>
      </c>
      <c r="H12" s="187">
        <v>5</v>
      </c>
      <c r="I12" s="310">
        <f>D12*G12*H12</f>
        <v>8000</v>
      </c>
      <c r="J12" s="310"/>
    </row>
    <row r="13" spans="1:10" ht="34.5" customHeight="1" x14ac:dyDescent="0.25">
      <c r="A13" s="187">
        <v>9</v>
      </c>
      <c r="B13" s="309" t="s">
        <v>702</v>
      </c>
      <c r="C13" s="309"/>
      <c r="D13" s="310">
        <v>800</v>
      </c>
      <c r="E13" s="310"/>
      <c r="F13" s="310"/>
      <c r="G13" s="187"/>
      <c r="H13" s="187">
        <v>4</v>
      </c>
      <c r="I13" s="310">
        <f t="shared" si="0"/>
        <v>0</v>
      </c>
      <c r="J13" s="310"/>
    </row>
    <row r="14" spans="1:10" ht="34.5" customHeight="1" x14ac:dyDescent="0.25">
      <c r="A14" s="187">
        <v>10</v>
      </c>
      <c r="B14" s="312" t="s">
        <v>16</v>
      </c>
      <c r="C14" s="313"/>
      <c r="D14" s="357">
        <v>200</v>
      </c>
      <c r="E14" s="358"/>
      <c r="F14" s="359"/>
      <c r="G14" s="187"/>
      <c r="H14" s="187">
        <v>6</v>
      </c>
      <c r="I14" s="310">
        <f t="shared" si="0"/>
        <v>0</v>
      </c>
      <c r="J14" s="310"/>
    </row>
    <row r="15" spans="1:10" ht="35.25" customHeight="1" x14ac:dyDescent="0.25">
      <c r="A15" s="187">
        <v>11</v>
      </c>
      <c r="B15" s="309" t="s">
        <v>703</v>
      </c>
      <c r="C15" s="309"/>
      <c r="D15" s="310">
        <v>800</v>
      </c>
      <c r="E15" s="310"/>
      <c r="F15" s="310"/>
      <c r="G15" s="187">
        <v>6</v>
      </c>
      <c r="H15" s="187">
        <v>5</v>
      </c>
      <c r="I15" s="310">
        <f t="shared" si="0"/>
        <v>24000</v>
      </c>
      <c r="J15" s="310"/>
    </row>
    <row r="16" spans="1:10" ht="35.25" customHeight="1" x14ac:dyDescent="0.25">
      <c r="A16" s="187">
        <v>12</v>
      </c>
      <c r="B16" s="312" t="s">
        <v>17</v>
      </c>
      <c r="C16" s="313"/>
      <c r="D16" s="357">
        <v>200</v>
      </c>
      <c r="E16" s="358"/>
      <c r="F16" s="359"/>
      <c r="G16" s="187">
        <v>6</v>
      </c>
      <c r="H16" s="187">
        <v>6</v>
      </c>
      <c r="I16" s="310">
        <f t="shared" ref="I16:I21" si="1">D16*G16*H16</f>
        <v>7200</v>
      </c>
      <c r="J16" s="310"/>
    </row>
    <row r="17" spans="1:10" ht="35.25" customHeight="1" x14ac:dyDescent="0.25">
      <c r="A17" s="187">
        <v>13</v>
      </c>
      <c r="B17" s="309" t="s">
        <v>703</v>
      </c>
      <c r="C17" s="309"/>
      <c r="D17" s="310">
        <v>800</v>
      </c>
      <c r="E17" s="310"/>
      <c r="F17" s="310"/>
      <c r="G17" s="187">
        <v>6</v>
      </c>
      <c r="H17" s="187">
        <v>5</v>
      </c>
      <c r="I17" s="310">
        <f t="shared" si="1"/>
        <v>24000</v>
      </c>
      <c r="J17" s="310"/>
    </row>
    <row r="18" spans="1:10" ht="35.25" customHeight="1" x14ac:dyDescent="0.25">
      <c r="A18" s="187">
        <v>14</v>
      </c>
      <c r="B18" s="312" t="s">
        <v>17</v>
      </c>
      <c r="C18" s="313"/>
      <c r="D18" s="357">
        <v>200</v>
      </c>
      <c r="E18" s="358"/>
      <c r="F18" s="359"/>
      <c r="G18" s="187">
        <v>6</v>
      </c>
      <c r="H18" s="187">
        <v>6</v>
      </c>
      <c r="I18" s="310">
        <f t="shared" si="1"/>
        <v>7200</v>
      </c>
      <c r="J18" s="310"/>
    </row>
    <row r="19" spans="1:10" ht="34.5" customHeight="1" x14ac:dyDescent="0.25">
      <c r="A19" s="187">
        <v>15</v>
      </c>
      <c r="B19" s="309" t="s">
        <v>716</v>
      </c>
      <c r="C19" s="309"/>
      <c r="D19" s="310">
        <v>800</v>
      </c>
      <c r="E19" s="310"/>
      <c r="F19" s="310"/>
      <c r="G19" s="187">
        <v>10</v>
      </c>
      <c r="H19" s="187">
        <v>3</v>
      </c>
      <c r="I19" s="310">
        <f t="shared" si="1"/>
        <v>24000</v>
      </c>
      <c r="J19" s="310"/>
    </row>
    <row r="20" spans="1:10" ht="32.25" customHeight="1" x14ac:dyDescent="0.25">
      <c r="A20" s="187">
        <v>16</v>
      </c>
      <c r="B20" s="312" t="s">
        <v>717</v>
      </c>
      <c r="C20" s="313"/>
      <c r="D20" s="357">
        <v>200</v>
      </c>
      <c r="E20" s="358"/>
      <c r="F20" s="359"/>
      <c r="G20" s="187">
        <v>10</v>
      </c>
      <c r="H20" s="187">
        <v>7</v>
      </c>
      <c r="I20" s="310">
        <f t="shared" si="1"/>
        <v>14000</v>
      </c>
      <c r="J20" s="310"/>
    </row>
    <row r="21" spans="1:10" ht="32.25" customHeight="1" x14ac:dyDescent="0.25">
      <c r="A21" s="187">
        <v>17</v>
      </c>
      <c r="B21" s="309" t="s">
        <v>715</v>
      </c>
      <c r="C21" s="309"/>
      <c r="D21" s="310">
        <f>6000*2</f>
        <v>12000</v>
      </c>
      <c r="E21" s="310"/>
      <c r="F21" s="310"/>
      <c r="G21" s="187">
        <v>10</v>
      </c>
      <c r="H21" s="222">
        <v>1</v>
      </c>
      <c r="I21" s="310">
        <f t="shared" si="1"/>
        <v>120000</v>
      </c>
      <c r="J21" s="310"/>
    </row>
    <row r="22" spans="1:10" ht="42.75" customHeight="1" x14ac:dyDescent="0.25">
      <c r="A22" s="187">
        <v>18</v>
      </c>
      <c r="B22" s="309" t="s">
        <v>18</v>
      </c>
      <c r="C22" s="309"/>
      <c r="D22" s="310">
        <v>800</v>
      </c>
      <c r="E22" s="310"/>
      <c r="F22" s="310"/>
      <c r="G22" s="187">
        <v>8</v>
      </c>
      <c r="H22" s="187">
        <v>5</v>
      </c>
      <c r="I22" s="310">
        <f t="shared" si="0"/>
        <v>32000</v>
      </c>
      <c r="J22" s="310"/>
    </row>
    <row r="23" spans="1:10" ht="36" customHeight="1" x14ac:dyDescent="0.25">
      <c r="A23" s="187">
        <v>19</v>
      </c>
      <c r="B23" s="312" t="s">
        <v>19</v>
      </c>
      <c r="C23" s="313"/>
      <c r="D23" s="357">
        <v>200</v>
      </c>
      <c r="E23" s="358"/>
      <c r="F23" s="359"/>
      <c r="G23" s="187">
        <v>6</v>
      </c>
      <c r="H23" s="187">
        <v>8</v>
      </c>
      <c r="I23" s="310">
        <f t="shared" si="0"/>
        <v>9600</v>
      </c>
      <c r="J23" s="310"/>
    </row>
    <row r="24" spans="1:10" ht="36" customHeight="1" x14ac:dyDescent="0.25">
      <c r="A24" s="187">
        <v>20</v>
      </c>
      <c r="B24" s="314" t="s">
        <v>705</v>
      </c>
      <c r="C24" s="314"/>
      <c r="D24" s="310">
        <v>800</v>
      </c>
      <c r="E24" s="310"/>
      <c r="F24" s="310"/>
      <c r="G24" s="187">
        <v>4</v>
      </c>
      <c r="H24" s="187">
        <v>5</v>
      </c>
      <c r="I24" s="310">
        <f t="shared" si="0"/>
        <v>16000</v>
      </c>
      <c r="J24" s="310"/>
    </row>
    <row r="25" spans="1:10" ht="36" customHeight="1" x14ac:dyDescent="0.25">
      <c r="A25" s="187">
        <v>21</v>
      </c>
      <c r="B25" s="312" t="s">
        <v>20</v>
      </c>
      <c r="C25" s="313"/>
      <c r="D25" s="357">
        <v>200</v>
      </c>
      <c r="E25" s="358"/>
      <c r="F25" s="359"/>
      <c r="G25" s="187">
        <v>4</v>
      </c>
      <c r="H25" s="187">
        <v>6</v>
      </c>
      <c r="I25" s="310">
        <f>D25*G25*H25</f>
        <v>4800</v>
      </c>
      <c r="J25" s="310"/>
    </row>
    <row r="26" spans="1:10" ht="36" customHeight="1" x14ac:dyDescent="0.25">
      <c r="A26" s="187">
        <v>22</v>
      </c>
      <c r="B26" s="314" t="s">
        <v>718</v>
      </c>
      <c r="C26" s="314"/>
      <c r="D26" s="310">
        <v>800</v>
      </c>
      <c r="E26" s="310"/>
      <c r="F26" s="310"/>
      <c r="G26" s="187">
        <v>6</v>
      </c>
      <c r="H26" s="187">
        <v>4</v>
      </c>
      <c r="I26" s="310">
        <f t="shared" si="0"/>
        <v>19200</v>
      </c>
      <c r="J26" s="310"/>
    </row>
    <row r="27" spans="1:10" ht="36" customHeight="1" x14ac:dyDescent="0.25">
      <c r="A27" s="187">
        <v>23</v>
      </c>
      <c r="B27" s="312" t="s">
        <v>719</v>
      </c>
      <c r="C27" s="313"/>
      <c r="D27" s="357">
        <v>200</v>
      </c>
      <c r="E27" s="358"/>
      <c r="F27" s="359"/>
      <c r="G27" s="187">
        <v>6</v>
      </c>
      <c r="H27" s="187">
        <v>6</v>
      </c>
      <c r="I27" s="310">
        <f t="shared" si="0"/>
        <v>7200</v>
      </c>
      <c r="J27" s="310"/>
    </row>
    <row r="28" spans="1:10" ht="36" customHeight="1" x14ac:dyDescent="0.25">
      <c r="A28" s="187">
        <v>24</v>
      </c>
      <c r="B28" s="314" t="s">
        <v>705</v>
      </c>
      <c r="C28" s="314"/>
      <c r="D28" s="310">
        <v>800</v>
      </c>
      <c r="E28" s="310"/>
      <c r="F28" s="310"/>
      <c r="G28" s="187">
        <v>5</v>
      </c>
      <c r="H28" s="187">
        <v>3</v>
      </c>
      <c r="I28" s="310">
        <f t="shared" ref="I28:I29" si="2">D28*G28*H28</f>
        <v>12000</v>
      </c>
      <c r="J28" s="310"/>
    </row>
    <row r="29" spans="1:10" ht="36" customHeight="1" x14ac:dyDescent="0.25">
      <c r="A29" s="187">
        <v>25</v>
      </c>
      <c r="B29" s="312" t="s">
        <v>20</v>
      </c>
      <c r="C29" s="313"/>
      <c r="D29" s="357">
        <v>200</v>
      </c>
      <c r="E29" s="358"/>
      <c r="F29" s="359"/>
      <c r="G29" s="187">
        <v>4</v>
      </c>
      <c r="H29" s="187">
        <v>5</v>
      </c>
      <c r="I29" s="310">
        <f t="shared" si="2"/>
        <v>4000</v>
      </c>
      <c r="J29" s="310"/>
    </row>
    <row r="30" spans="1:10" ht="36" customHeight="1" x14ac:dyDescent="0.25">
      <c r="A30" s="187">
        <v>26</v>
      </c>
      <c r="B30" s="309" t="s">
        <v>706</v>
      </c>
      <c r="C30" s="309"/>
      <c r="D30" s="310">
        <v>800</v>
      </c>
      <c r="E30" s="310"/>
      <c r="F30" s="310"/>
      <c r="G30" s="187">
        <v>6</v>
      </c>
      <c r="H30" s="187">
        <v>3</v>
      </c>
      <c r="I30" s="310">
        <f t="shared" si="0"/>
        <v>14400</v>
      </c>
      <c r="J30" s="310"/>
    </row>
    <row r="31" spans="1:10" ht="36" customHeight="1" x14ac:dyDescent="0.25">
      <c r="A31" s="187">
        <v>27</v>
      </c>
      <c r="B31" s="312" t="s">
        <v>22</v>
      </c>
      <c r="C31" s="313"/>
      <c r="D31" s="357">
        <v>200</v>
      </c>
      <c r="E31" s="358"/>
      <c r="F31" s="359"/>
      <c r="G31" s="187">
        <v>6</v>
      </c>
      <c r="H31" s="187">
        <v>4</v>
      </c>
      <c r="I31" s="310">
        <f>D31*G31*H31</f>
        <v>4800</v>
      </c>
      <c r="J31" s="310"/>
    </row>
    <row r="32" spans="1:10" ht="36" customHeight="1" x14ac:dyDescent="0.25">
      <c r="A32" s="187">
        <v>28</v>
      </c>
      <c r="B32" s="309" t="s">
        <v>706</v>
      </c>
      <c r="C32" s="309"/>
      <c r="D32" s="310">
        <v>800</v>
      </c>
      <c r="E32" s="310"/>
      <c r="F32" s="310"/>
      <c r="G32" s="187">
        <v>8</v>
      </c>
      <c r="H32" s="187">
        <v>3</v>
      </c>
      <c r="I32" s="310">
        <f t="shared" ref="I32" si="3">D32*G32*H32</f>
        <v>19200</v>
      </c>
      <c r="J32" s="310"/>
    </row>
    <row r="33" spans="1:10" ht="36" customHeight="1" x14ac:dyDescent="0.25">
      <c r="A33" s="187">
        <v>29</v>
      </c>
      <c r="B33" s="312" t="s">
        <v>22</v>
      </c>
      <c r="C33" s="313"/>
      <c r="D33" s="357">
        <v>200</v>
      </c>
      <c r="E33" s="358"/>
      <c r="F33" s="359"/>
      <c r="G33" s="187">
        <v>8</v>
      </c>
      <c r="H33" s="187">
        <v>4</v>
      </c>
      <c r="I33" s="310">
        <f>D33*G33*H33</f>
        <v>6400</v>
      </c>
      <c r="J33" s="310"/>
    </row>
    <row r="34" spans="1:10" ht="36" customHeight="1" x14ac:dyDescent="0.25">
      <c r="A34" s="187">
        <v>30</v>
      </c>
      <c r="B34" s="309" t="s">
        <v>707</v>
      </c>
      <c r="C34" s="309"/>
      <c r="D34" s="310">
        <v>800</v>
      </c>
      <c r="E34" s="310"/>
      <c r="F34" s="310"/>
      <c r="G34" s="187">
        <v>14</v>
      </c>
      <c r="H34" s="187">
        <v>5</v>
      </c>
      <c r="I34" s="310">
        <f t="shared" si="0"/>
        <v>56000</v>
      </c>
      <c r="J34" s="310"/>
    </row>
    <row r="35" spans="1:10" ht="36" customHeight="1" x14ac:dyDescent="0.25">
      <c r="A35" s="187">
        <v>31</v>
      </c>
      <c r="B35" s="312" t="s">
        <v>21</v>
      </c>
      <c r="C35" s="313"/>
      <c r="D35" s="357">
        <v>200</v>
      </c>
      <c r="E35" s="358"/>
      <c r="F35" s="359"/>
      <c r="G35" s="187">
        <v>14</v>
      </c>
      <c r="H35" s="187">
        <v>6</v>
      </c>
      <c r="I35" s="310">
        <f t="shared" si="0"/>
        <v>16800</v>
      </c>
      <c r="J35" s="310"/>
    </row>
    <row r="36" spans="1:10" ht="27.75" customHeight="1" x14ac:dyDescent="0.25">
      <c r="A36" s="187">
        <v>32</v>
      </c>
      <c r="B36" s="309" t="s">
        <v>708</v>
      </c>
      <c r="C36" s="309"/>
      <c r="D36" s="310">
        <v>800</v>
      </c>
      <c r="E36" s="310"/>
      <c r="F36" s="310"/>
      <c r="G36" s="99">
        <v>13</v>
      </c>
      <c r="H36" s="99">
        <v>3</v>
      </c>
      <c r="I36" s="310">
        <f t="shared" si="0"/>
        <v>31200</v>
      </c>
      <c r="J36" s="310"/>
    </row>
    <row r="37" spans="1:10" ht="27.75" customHeight="1" x14ac:dyDescent="0.25">
      <c r="A37" s="187">
        <v>33</v>
      </c>
      <c r="B37" s="312" t="s">
        <v>23</v>
      </c>
      <c r="C37" s="313"/>
      <c r="D37" s="357">
        <v>200</v>
      </c>
      <c r="E37" s="358"/>
      <c r="F37" s="359"/>
      <c r="G37" s="187">
        <v>13</v>
      </c>
      <c r="H37" s="187">
        <v>5</v>
      </c>
      <c r="I37" s="310">
        <f>D37*G37*H37</f>
        <v>13000</v>
      </c>
      <c r="J37" s="310"/>
    </row>
    <row r="38" spans="1:10" ht="27.75" customHeight="1" x14ac:dyDescent="0.25">
      <c r="A38" s="187">
        <v>34</v>
      </c>
      <c r="B38" s="312" t="s">
        <v>720</v>
      </c>
      <c r="C38" s="313"/>
      <c r="D38" s="357">
        <f>550*2</f>
        <v>1100</v>
      </c>
      <c r="E38" s="358"/>
      <c r="F38" s="359"/>
      <c r="G38" s="187">
        <v>13</v>
      </c>
      <c r="H38" s="222">
        <v>1</v>
      </c>
      <c r="I38" s="310">
        <f>D38*G38*H38</f>
        <v>14300</v>
      </c>
      <c r="J38" s="310"/>
    </row>
    <row r="39" spans="1:10" ht="47.25" customHeight="1" x14ac:dyDescent="0.25">
      <c r="A39" s="187">
        <v>35</v>
      </c>
      <c r="B39" s="309" t="s">
        <v>721</v>
      </c>
      <c r="C39" s="309"/>
      <c r="D39" s="310">
        <v>700</v>
      </c>
      <c r="E39" s="310"/>
      <c r="F39" s="310"/>
      <c r="G39" s="99">
        <v>16</v>
      </c>
      <c r="H39" s="99">
        <v>5</v>
      </c>
      <c r="I39" s="310">
        <f t="shared" ref="I39" si="4">D39*G39*H39</f>
        <v>56000</v>
      </c>
      <c r="J39" s="310"/>
    </row>
    <row r="40" spans="1:10" ht="42.75" customHeight="1" x14ac:dyDescent="0.25">
      <c r="A40" s="187">
        <v>36</v>
      </c>
      <c r="B40" s="312" t="s">
        <v>23</v>
      </c>
      <c r="C40" s="313"/>
      <c r="D40" s="357">
        <v>200</v>
      </c>
      <c r="E40" s="358"/>
      <c r="F40" s="359"/>
      <c r="G40" s="187">
        <v>16</v>
      </c>
      <c r="H40" s="187">
        <v>7</v>
      </c>
      <c r="I40" s="310">
        <f>D40*G40*H40</f>
        <v>22400</v>
      </c>
      <c r="J40" s="310"/>
    </row>
    <row r="41" spans="1:10" ht="35.25" customHeight="1" x14ac:dyDescent="0.25">
      <c r="A41" s="187">
        <v>37</v>
      </c>
      <c r="B41" s="312" t="s">
        <v>720</v>
      </c>
      <c r="C41" s="313"/>
      <c r="D41" s="357">
        <f>350*2</f>
        <v>700</v>
      </c>
      <c r="E41" s="358"/>
      <c r="F41" s="359"/>
      <c r="G41" s="187">
        <v>16</v>
      </c>
      <c r="H41" s="222">
        <v>1</v>
      </c>
      <c r="I41" s="310">
        <f>D41*G41*H41</f>
        <v>11200</v>
      </c>
      <c r="J41" s="310"/>
    </row>
    <row r="42" spans="1:10" ht="35.25" customHeight="1" x14ac:dyDescent="0.25">
      <c r="A42" s="187">
        <v>38</v>
      </c>
      <c r="B42" s="309" t="s">
        <v>722</v>
      </c>
      <c r="C42" s="309"/>
      <c r="D42" s="310">
        <f>1000*2</f>
        <v>2000</v>
      </c>
      <c r="E42" s="310"/>
      <c r="F42" s="310"/>
      <c r="G42" s="99">
        <v>15</v>
      </c>
      <c r="H42" s="100">
        <v>1</v>
      </c>
      <c r="I42" s="310">
        <f t="shared" si="0"/>
        <v>30000</v>
      </c>
      <c r="J42" s="310"/>
    </row>
    <row r="43" spans="1:10" ht="35.25" customHeight="1" x14ac:dyDescent="0.25">
      <c r="A43" s="187">
        <v>39</v>
      </c>
      <c r="B43" s="309" t="s">
        <v>723</v>
      </c>
      <c r="C43" s="309"/>
      <c r="D43" s="310">
        <v>800</v>
      </c>
      <c r="E43" s="310"/>
      <c r="F43" s="310"/>
      <c r="G43" s="99">
        <v>17</v>
      </c>
      <c r="H43" s="99">
        <v>3</v>
      </c>
      <c r="I43" s="310">
        <f t="shared" si="0"/>
        <v>40800</v>
      </c>
      <c r="J43" s="310"/>
    </row>
    <row r="44" spans="1:10" ht="53.25" customHeight="1" x14ac:dyDescent="0.25">
      <c r="A44" s="187">
        <v>40</v>
      </c>
      <c r="B44" s="312" t="s">
        <v>724</v>
      </c>
      <c r="C44" s="313"/>
      <c r="D44" s="357">
        <v>200</v>
      </c>
      <c r="E44" s="358"/>
      <c r="F44" s="359"/>
      <c r="G44" s="187">
        <v>17</v>
      </c>
      <c r="H44" s="187">
        <v>5</v>
      </c>
      <c r="I44" s="310">
        <f t="shared" si="0"/>
        <v>17000</v>
      </c>
      <c r="J44" s="310"/>
    </row>
    <row r="45" spans="1:10" ht="30" customHeight="1" x14ac:dyDescent="0.25">
      <c r="A45" s="187">
        <v>41</v>
      </c>
      <c r="B45" s="309" t="s">
        <v>709</v>
      </c>
      <c r="C45" s="309"/>
      <c r="D45" s="310">
        <v>800</v>
      </c>
      <c r="E45" s="310"/>
      <c r="F45" s="310"/>
      <c r="G45" s="99">
        <v>10</v>
      </c>
      <c r="H45" s="99">
        <v>6</v>
      </c>
      <c r="I45" s="310">
        <f t="shared" si="0"/>
        <v>48000</v>
      </c>
      <c r="J45" s="310"/>
    </row>
    <row r="46" spans="1:10" ht="30" customHeight="1" x14ac:dyDescent="0.25">
      <c r="A46" s="187">
        <v>42</v>
      </c>
      <c r="B46" s="312" t="s">
        <v>24</v>
      </c>
      <c r="C46" s="313"/>
      <c r="D46" s="357">
        <v>200</v>
      </c>
      <c r="E46" s="358"/>
      <c r="F46" s="359"/>
      <c r="G46" s="187">
        <v>10</v>
      </c>
      <c r="H46" s="187">
        <v>8</v>
      </c>
      <c r="I46" s="310">
        <f>D46*G46*H46</f>
        <v>16000</v>
      </c>
      <c r="J46" s="310"/>
    </row>
    <row r="47" spans="1:10" ht="30" customHeight="1" x14ac:dyDescent="0.25">
      <c r="A47" s="187">
        <v>43</v>
      </c>
      <c r="B47" s="309" t="s">
        <v>725</v>
      </c>
      <c r="C47" s="309"/>
      <c r="D47" s="310">
        <v>800</v>
      </c>
      <c r="E47" s="310"/>
      <c r="F47" s="310"/>
      <c r="G47" s="99">
        <v>10</v>
      </c>
      <c r="H47" s="99">
        <v>6</v>
      </c>
      <c r="I47" s="310">
        <f t="shared" ref="I47" si="5">D47*G47*H47</f>
        <v>48000</v>
      </c>
      <c r="J47" s="310"/>
    </row>
    <row r="48" spans="1:10" ht="30" customHeight="1" x14ac:dyDescent="0.25">
      <c r="A48" s="187">
        <v>45</v>
      </c>
      <c r="B48" s="309" t="s">
        <v>726</v>
      </c>
      <c r="C48" s="309"/>
      <c r="D48" s="310">
        <f>776-12.9</f>
        <v>763.1</v>
      </c>
      <c r="E48" s="310"/>
      <c r="F48" s="310"/>
      <c r="G48" s="99">
        <v>9</v>
      </c>
      <c r="H48" s="100">
        <v>1</v>
      </c>
      <c r="I48" s="310">
        <f>ROUND(D48*G48*H48,2)-0.01-31.19</f>
        <v>6836.7</v>
      </c>
      <c r="J48" s="310"/>
    </row>
    <row r="49" spans="1:12" ht="34.5" customHeight="1" x14ac:dyDescent="0.25">
      <c r="A49" s="187">
        <v>46</v>
      </c>
      <c r="B49" s="309" t="s">
        <v>728</v>
      </c>
      <c r="C49" s="309"/>
      <c r="D49" s="310">
        <f>1100*2</f>
        <v>2200</v>
      </c>
      <c r="E49" s="310"/>
      <c r="F49" s="310"/>
      <c r="G49" s="99">
        <v>30</v>
      </c>
      <c r="H49" s="100">
        <v>1</v>
      </c>
      <c r="I49" s="310">
        <f>ROUND(D49*G49*H49,0)</f>
        <v>66000</v>
      </c>
      <c r="J49" s="310"/>
    </row>
    <row r="50" spans="1:12" ht="34.5" customHeight="1" x14ac:dyDescent="0.25">
      <c r="A50" s="187">
        <v>47</v>
      </c>
      <c r="B50" s="309" t="s">
        <v>727</v>
      </c>
      <c r="C50" s="309"/>
      <c r="D50" s="310">
        <f>800</f>
        <v>800</v>
      </c>
      <c r="E50" s="310"/>
      <c r="F50" s="310"/>
      <c r="G50" s="99">
        <v>30</v>
      </c>
      <c r="H50" s="99">
        <v>3</v>
      </c>
      <c r="I50" s="310">
        <f t="shared" si="0"/>
        <v>72000</v>
      </c>
      <c r="J50" s="310"/>
    </row>
    <row r="51" spans="1:12" ht="34.5" customHeight="1" x14ac:dyDescent="0.25">
      <c r="A51" s="187">
        <v>48</v>
      </c>
      <c r="B51" s="312" t="s">
        <v>25</v>
      </c>
      <c r="C51" s="313"/>
      <c r="D51" s="357">
        <v>200</v>
      </c>
      <c r="E51" s="358"/>
      <c r="F51" s="359"/>
      <c r="G51" s="187">
        <v>30</v>
      </c>
      <c r="H51" s="187">
        <v>7</v>
      </c>
      <c r="I51" s="310">
        <f t="shared" si="0"/>
        <v>42000</v>
      </c>
      <c r="J51" s="310"/>
    </row>
    <row r="52" spans="1:12" ht="15.75" x14ac:dyDescent="0.25">
      <c r="A52" s="187"/>
      <c r="B52" s="311" t="s">
        <v>450</v>
      </c>
      <c r="C52" s="311"/>
      <c r="D52" s="311" t="s">
        <v>451</v>
      </c>
      <c r="E52" s="311"/>
      <c r="F52" s="311"/>
      <c r="G52" s="187" t="s">
        <v>451</v>
      </c>
      <c r="H52" s="187" t="s">
        <v>451</v>
      </c>
      <c r="I52" s="310">
        <f>SUM(I6:J51)</f>
        <v>1178936.7</v>
      </c>
      <c r="J52" s="315"/>
      <c r="K52" s="115">
        <f>'р.3 2019'!R71</f>
        <v>973600</v>
      </c>
      <c r="L52" s="93">
        <f>K52-I52</f>
        <v>-205336.69999999995</v>
      </c>
    </row>
    <row r="54" spans="1:12" x14ac:dyDescent="0.25">
      <c r="J54" s="93"/>
    </row>
  </sheetData>
  <mergeCells count="150">
    <mergeCell ref="B41:C41"/>
    <mergeCell ref="D41:F41"/>
    <mergeCell ref="I41:J41"/>
    <mergeCell ref="B47:C47"/>
    <mergeCell ref="D47:F47"/>
    <mergeCell ref="I47:J47"/>
    <mergeCell ref="B45:C45"/>
    <mergeCell ref="B42:C42"/>
    <mergeCell ref="D42:F42"/>
    <mergeCell ref="I42:J42"/>
    <mergeCell ref="B43:C43"/>
    <mergeCell ref="D43:F43"/>
    <mergeCell ref="I43:J43"/>
    <mergeCell ref="B44:C44"/>
    <mergeCell ref="D44:F44"/>
    <mergeCell ref="I44:J44"/>
    <mergeCell ref="D45:F45"/>
    <mergeCell ref="I45:J45"/>
    <mergeCell ref="B32:C32"/>
    <mergeCell ref="D32:F32"/>
    <mergeCell ref="I32:J32"/>
    <mergeCell ref="B33:C33"/>
    <mergeCell ref="D33:F33"/>
    <mergeCell ref="I33:J33"/>
    <mergeCell ref="B38:C38"/>
    <mergeCell ref="D38:F38"/>
    <mergeCell ref="I38:J38"/>
    <mergeCell ref="B37:C37"/>
    <mergeCell ref="D37:F37"/>
    <mergeCell ref="I37:J37"/>
    <mergeCell ref="B52:C52"/>
    <mergeCell ref="D52:F52"/>
    <mergeCell ref="I52:J52"/>
    <mergeCell ref="B51:C51"/>
    <mergeCell ref="D51:F51"/>
    <mergeCell ref="I51:J51"/>
    <mergeCell ref="B49:C49"/>
    <mergeCell ref="I49:J49"/>
    <mergeCell ref="B46:C46"/>
    <mergeCell ref="D46:F46"/>
    <mergeCell ref="I46:J46"/>
    <mergeCell ref="B48:C48"/>
    <mergeCell ref="D48:F48"/>
    <mergeCell ref="I48:J48"/>
    <mergeCell ref="D49:F49"/>
    <mergeCell ref="B50:C50"/>
    <mergeCell ref="D50:F50"/>
    <mergeCell ref="I50:J50"/>
    <mergeCell ref="B39:C39"/>
    <mergeCell ref="D39:F39"/>
    <mergeCell ref="I39:J39"/>
    <mergeCell ref="B40:C40"/>
    <mergeCell ref="D40:F40"/>
    <mergeCell ref="B34:C34"/>
    <mergeCell ref="D34:F34"/>
    <mergeCell ref="I34:J34"/>
    <mergeCell ref="B35:C35"/>
    <mergeCell ref="D35:F35"/>
    <mergeCell ref="I35:J35"/>
    <mergeCell ref="B36:C36"/>
    <mergeCell ref="D36:F36"/>
    <mergeCell ref="I36:J36"/>
    <mergeCell ref="I40:J40"/>
    <mergeCell ref="B27:C27"/>
    <mergeCell ref="D27:F27"/>
    <mergeCell ref="I27:J27"/>
    <mergeCell ref="B30:C30"/>
    <mergeCell ref="D30:F30"/>
    <mergeCell ref="I30:J30"/>
    <mergeCell ref="B31:C31"/>
    <mergeCell ref="D31:F31"/>
    <mergeCell ref="I31:J31"/>
    <mergeCell ref="B28:C28"/>
    <mergeCell ref="D28:F28"/>
    <mergeCell ref="I28:J28"/>
    <mergeCell ref="B29:C29"/>
    <mergeCell ref="D29:F29"/>
    <mergeCell ref="I29:J29"/>
    <mergeCell ref="B24:C24"/>
    <mergeCell ref="D24:F24"/>
    <mergeCell ref="I24:J24"/>
    <mergeCell ref="B25:C25"/>
    <mergeCell ref="D25:F25"/>
    <mergeCell ref="I25:J25"/>
    <mergeCell ref="B26:C26"/>
    <mergeCell ref="D26:F26"/>
    <mergeCell ref="I26:J26"/>
    <mergeCell ref="B22:C22"/>
    <mergeCell ref="D22:F22"/>
    <mergeCell ref="I22:J22"/>
    <mergeCell ref="B17:C17"/>
    <mergeCell ref="D17:F17"/>
    <mergeCell ref="I17:J17"/>
    <mergeCell ref="B18:C18"/>
    <mergeCell ref="D18:F18"/>
    <mergeCell ref="B23:C23"/>
    <mergeCell ref="D23:F23"/>
    <mergeCell ref="I23:J23"/>
    <mergeCell ref="I19:J19"/>
    <mergeCell ref="I18:J18"/>
    <mergeCell ref="B20:C20"/>
    <mergeCell ref="D20:F20"/>
    <mergeCell ref="I20:J20"/>
    <mergeCell ref="B19:C19"/>
    <mergeCell ref="D19:F19"/>
    <mergeCell ref="B21:C21"/>
    <mergeCell ref="D21:F21"/>
    <mergeCell ref="I21:J21"/>
    <mergeCell ref="B16:C16"/>
    <mergeCell ref="D16:F16"/>
    <mergeCell ref="I16:J16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D12:F12"/>
    <mergeCell ref="I12:J12"/>
    <mergeCell ref="B9:C9"/>
    <mergeCell ref="D9:F9"/>
    <mergeCell ref="I9:J9"/>
    <mergeCell ref="I10:J10"/>
    <mergeCell ref="B12:C12"/>
    <mergeCell ref="B11:C11"/>
    <mergeCell ref="D11:F11"/>
    <mergeCell ref="I11:J11"/>
    <mergeCell ref="B4:C4"/>
    <mergeCell ref="D4:F4"/>
    <mergeCell ref="I4:J4"/>
    <mergeCell ref="B10:C10"/>
    <mergeCell ref="D10:F10"/>
    <mergeCell ref="A1:J1"/>
    <mergeCell ref="B5:C5"/>
    <mergeCell ref="D5:F5"/>
    <mergeCell ref="I5:J5"/>
    <mergeCell ref="A2:J2"/>
    <mergeCell ref="A3:J3"/>
    <mergeCell ref="I8:J8"/>
    <mergeCell ref="D7:F7"/>
    <mergeCell ref="I7:J7"/>
    <mergeCell ref="B7:C7"/>
    <mergeCell ref="B6:C6"/>
    <mergeCell ref="D6:F6"/>
    <mergeCell ref="I6:J6"/>
    <mergeCell ref="B8:C8"/>
    <mergeCell ref="D8:F8"/>
  </mergeCells>
  <phoneticPr fontId="38" type="noConversion"/>
  <pageMargins left="0.94488188976377963" right="0.47244094488188981" top="0.27559055118110237" bottom="0.47244094488188981" header="0.19685039370078741" footer="0.19685039370078741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M338"/>
  <sheetViews>
    <sheetView topLeftCell="A278" zoomScale="110" zoomScaleNormal="110" workbookViewId="0">
      <selection activeCell="D133" sqref="D133"/>
    </sheetView>
  </sheetViews>
  <sheetFormatPr defaultRowHeight="15" x14ac:dyDescent="0.25"/>
  <cols>
    <col min="1" max="1" width="4.7109375" style="70" customWidth="1"/>
    <col min="2" max="2" width="31.28515625" style="70" customWidth="1"/>
    <col min="3" max="3" width="27.85546875" style="70" customWidth="1"/>
    <col min="4" max="4" width="16.28515625" style="70" customWidth="1"/>
    <col min="5" max="5" width="17.7109375" style="70" customWidth="1"/>
    <col min="6" max="6" width="16.140625" style="70" customWidth="1"/>
    <col min="7" max="7" width="13.28515625" style="70" bestFit="1" customWidth="1"/>
    <col min="8" max="8" width="12.85546875" style="70" bestFit="1" customWidth="1"/>
    <col min="9" max="9" width="10.42578125" style="70" bestFit="1" customWidth="1"/>
    <col min="10" max="10" width="11.85546875" style="70" bestFit="1" customWidth="1"/>
    <col min="11" max="16384" width="9.140625" style="70"/>
  </cols>
  <sheetData>
    <row r="1" spans="1:10" ht="6.75" hidden="1" customHeight="1" x14ac:dyDescent="0.25"/>
    <row r="2" spans="1:10" ht="15" hidden="1" customHeight="1" x14ac:dyDescent="0.25">
      <c r="A2" s="308" t="s">
        <v>511</v>
      </c>
      <c r="B2" s="308"/>
      <c r="C2" s="308"/>
      <c r="D2" s="308"/>
      <c r="E2" s="308"/>
      <c r="F2" s="308"/>
      <c r="H2" s="70">
        <v>262</v>
      </c>
    </row>
    <row r="3" spans="1:10" ht="15" hidden="1" customHeight="1" x14ac:dyDescent="0.25">
      <c r="A3" s="308" t="s">
        <v>512</v>
      </c>
      <c r="B3" s="308"/>
      <c r="C3" s="308"/>
      <c r="D3" s="308"/>
      <c r="E3" s="308"/>
      <c r="F3" s="308"/>
    </row>
    <row r="4" spans="1:10" ht="7.5" hidden="1" customHeight="1" x14ac:dyDescent="0.25"/>
    <row r="5" spans="1:10" ht="30.75" hidden="1" customHeight="1" x14ac:dyDescent="0.25">
      <c r="A5" s="301" t="s">
        <v>106</v>
      </c>
      <c r="B5" s="301"/>
      <c r="C5" s="301"/>
      <c r="D5" s="301"/>
      <c r="E5" s="301"/>
      <c r="F5" s="301"/>
    </row>
    <row r="6" spans="1:10" ht="15" hidden="1" customHeight="1" x14ac:dyDescent="0.25">
      <c r="A6" s="304" t="s">
        <v>2</v>
      </c>
      <c r="B6" s="304"/>
      <c r="C6" s="304"/>
      <c r="D6" s="304"/>
      <c r="E6" s="304"/>
      <c r="F6" s="304"/>
    </row>
    <row r="7" spans="1:10" ht="15" hidden="1" customHeight="1" x14ac:dyDescent="0.25">
      <c r="A7" s="382" t="s">
        <v>105</v>
      </c>
      <c r="B7" s="382"/>
      <c r="C7" s="382"/>
      <c r="D7" s="382"/>
      <c r="E7" s="382"/>
      <c r="F7" s="382"/>
    </row>
    <row r="8" spans="1:10" ht="41.25" hidden="1" customHeight="1" x14ac:dyDescent="0.25">
      <c r="A8" s="192" t="s">
        <v>442</v>
      </c>
      <c r="B8" s="389" t="s">
        <v>183</v>
      </c>
      <c r="C8" s="389"/>
      <c r="D8" s="192" t="s">
        <v>513</v>
      </c>
      <c r="E8" s="192" t="s">
        <v>514</v>
      </c>
      <c r="F8" s="192" t="s">
        <v>515</v>
      </c>
    </row>
    <row r="9" spans="1:10" ht="15" hidden="1" customHeight="1" x14ac:dyDescent="0.25">
      <c r="A9" s="192">
        <v>1</v>
      </c>
      <c r="B9" s="389">
        <v>2</v>
      </c>
      <c r="C9" s="389"/>
      <c r="D9" s="192">
        <v>3</v>
      </c>
      <c r="E9" s="192">
        <v>4</v>
      </c>
      <c r="F9" s="192">
        <v>5</v>
      </c>
    </row>
    <row r="10" spans="1:10" ht="27.75" hidden="1" customHeight="1" x14ac:dyDescent="0.25">
      <c r="A10" s="192">
        <v>1</v>
      </c>
      <c r="B10" s="385" t="s">
        <v>107</v>
      </c>
      <c r="C10" s="387"/>
      <c r="D10" s="117"/>
      <c r="E10" s="192">
        <v>1</v>
      </c>
      <c r="F10" s="117">
        <f>ROUND(D10*E10,2)</f>
        <v>0</v>
      </c>
    </row>
    <row r="11" spans="1:10" s="118" customFormat="1" ht="15" hidden="1" customHeight="1" x14ac:dyDescent="0.25">
      <c r="A11" s="193"/>
      <c r="B11" s="390" t="s">
        <v>450</v>
      </c>
      <c r="C11" s="390"/>
      <c r="D11" s="193" t="s">
        <v>451</v>
      </c>
      <c r="E11" s="193" t="s">
        <v>451</v>
      </c>
      <c r="F11" s="154">
        <f>F10</f>
        <v>0</v>
      </c>
      <c r="G11" s="118">
        <f>'р.3 2019'!D79</f>
        <v>100000</v>
      </c>
      <c r="H11" s="146">
        <f>F11-G11</f>
        <v>-100000</v>
      </c>
    </row>
    <row r="12" spans="1:10" ht="15" hidden="1" customHeight="1" x14ac:dyDescent="0.25">
      <c r="A12" s="94"/>
      <c r="B12" s="94"/>
      <c r="C12" s="94"/>
      <c r="D12" s="94"/>
      <c r="E12" s="94"/>
      <c r="F12" s="94"/>
    </row>
    <row r="13" spans="1:10" ht="15" customHeight="1" x14ac:dyDescent="0.25">
      <c r="A13" s="308" t="s">
        <v>519</v>
      </c>
      <c r="B13" s="308"/>
      <c r="C13" s="308"/>
      <c r="D13" s="308"/>
      <c r="E13" s="308"/>
      <c r="F13" s="308"/>
      <c r="I13" s="70">
        <v>290</v>
      </c>
      <c r="J13" s="70">
        <v>1143</v>
      </c>
    </row>
    <row r="14" spans="1:10" ht="15" customHeight="1" x14ac:dyDescent="0.25">
      <c r="A14" s="308" t="s">
        <v>520</v>
      </c>
      <c r="B14" s="308"/>
      <c r="C14" s="308"/>
      <c r="D14" s="308"/>
      <c r="E14" s="308"/>
      <c r="F14" s="308"/>
    </row>
    <row r="15" spans="1:10" ht="6" customHeight="1" x14ac:dyDescent="0.25">
      <c r="A15" s="188"/>
      <c r="B15" s="188"/>
      <c r="C15" s="188"/>
      <c r="D15" s="188"/>
      <c r="E15" s="188"/>
      <c r="F15" s="188"/>
    </row>
    <row r="16" spans="1:10" ht="15" customHeight="1" x14ac:dyDescent="0.25">
      <c r="A16" s="308" t="s">
        <v>84</v>
      </c>
      <c r="B16" s="308"/>
      <c r="C16" s="308"/>
      <c r="D16" s="308"/>
      <c r="E16" s="308"/>
      <c r="F16" s="308"/>
    </row>
    <row r="17" spans="1:10" ht="18.75" customHeight="1" x14ac:dyDescent="0.25">
      <c r="A17" s="307" t="s">
        <v>78</v>
      </c>
      <c r="B17" s="307"/>
      <c r="C17" s="307"/>
      <c r="D17" s="307"/>
      <c r="E17" s="307"/>
      <c r="F17" s="307"/>
    </row>
    <row r="18" spans="1:10" ht="15" customHeight="1" x14ac:dyDescent="0.25">
      <c r="A18" s="304" t="s">
        <v>2</v>
      </c>
      <c r="B18" s="304"/>
      <c r="C18" s="304"/>
      <c r="D18" s="304"/>
      <c r="E18" s="304"/>
      <c r="F18" s="304"/>
    </row>
    <row r="19" spans="1:10" ht="15" customHeight="1" x14ac:dyDescent="0.25">
      <c r="A19" s="382" t="s">
        <v>781</v>
      </c>
      <c r="B19" s="382"/>
      <c r="C19" s="382"/>
      <c r="D19" s="382"/>
      <c r="E19" s="382"/>
      <c r="F19" s="382"/>
    </row>
    <row r="20" spans="1:10" ht="43.5" customHeight="1" x14ac:dyDescent="0.25">
      <c r="A20" s="192" t="s">
        <v>442</v>
      </c>
      <c r="B20" s="192" t="s">
        <v>454</v>
      </c>
      <c r="C20" s="192" t="s">
        <v>521</v>
      </c>
      <c r="D20" s="192" t="s">
        <v>522</v>
      </c>
      <c r="E20" s="302" t="s">
        <v>523</v>
      </c>
      <c r="F20" s="302"/>
    </row>
    <row r="21" spans="1:10" ht="15" customHeight="1" x14ac:dyDescent="0.25">
      <c r="A21" s="192">
        <v>1</v>
      </c>
      <c r="B21" s="192">
        <v>2</v>
      </c>
      <c r="C21" s="192">
        <v>3</v>
      </c>
      <c r="D21" s="192">
        <v>4</v>
      </c>
      <c r="E21" s="302">
        <v>5</v>
      </c>
      <c r="F21" s="302"/>
    </row>
    <row r="22" spans="1:10" ht="12.75" customHeight="1" x14ac:dyDescent="0.25">
      <c r="A22" s="192">
        <v>1</v>
      </c>
      <c r="B22" s="192" t="s">
        <v>1</v>
      </c>
      <c r="C22" s="133">
        <v>28409.091032608671</v>
      </c>
      <c r="D22" s="185">
        <v>2.2000000000000002</v>
      </c>
      <c r="E22" s="380">
        <f>ROUND(C22*D22/100,2)</f>
        <v>625</v>
      </c>
      <c r="F22" s="380"/>
      <c r="J22" s="93">
        <f>G23/D22*100</f>
        <v>49999.999999999993</v>
      </c>
    </row>
    <row r="23" spans="1:10" s="118" customFormat="1" ht="12.75" customHeight="1" x14ac:dyDescent="0.25">
      <c r="A23" s="193"/>
      <c r="B23" s="193" t="s">
        <v>450</v>
      </c>
      <c r="C23" s="193"/>
      <c r="D23" s="193" t="s">
        <v>451</v>
      </c>
      <c r="E23" s="383">
        <f>SUM(E22)</f>
        <v>625</v>
      </c>
      <c r="F23" s="384"/>
      <c r="G23" s="118">
        <f>'р.3 2019'!L90</f>
        <v>1100</v>
      </c>
      <c r="H23" s="118">
        <f>E23-G23</f>
        <v>-475</v>
      </c>
    </row>
    <row r="24" spans="1:10" s="118" customFormat="1" ht="15" customHeight="1" x14ac:dyDescent="0.25">
      <c r="A24" s="123"/>
      <c r="B24" s="123"/>
      <c r="C24" s="123"/>
      <c r="D24" s="123"/>
      <c r="E24" s="258"/>
      <c r="F24" s="259"/>
    </row>
    <row r="25" spans="1:10" s="118" customFormat="1" ht="32.25" customHeight="1" x14ac:dyDescent="0.25">
      <c r="A25" s="301" t="s">
        <v>830</v>
      </c>
      <c r="B25" s="301"/>
      <c r="C25" s="301"/>
      <c r="D25" s="301"/>
      <c r="E25" s="301"/>
      <c r="F25" s="301"/>
    </row>
    <row r="26" spans="1:10" s="118" customFormat="1" ht="15" customHeight="1" x14ac:dyDescent="0.25">
      <c r="A26" s="382" t="s">
        <v>829</v>
      </c>
      <c r="B26" s="382"/>
      <c r="C26" s="382"/>
      <c r="D26" s="382"/>
      <c r="E26" s="382"/>
      <c r="F26" s="382"/>
    </row>
    <row r="27" spans="1:10" s="118" customFormat="1" ht="15" customHeight="1" x14ac:dyDescent="0.25">
      <c r="A27" s="253" t="s">
        <v>442</v>
      </c>
      <c r="B27" s="253" t="s">
        <v>454</v>
      </c>
      <c r="C27" s="253" t="s">
        <v>521</v>
      </c>
      <c r="D27" s="253" t="s">
        <v>522</v>
      </c>
      <c r="E27" s="302" t="s">
        <v>523</v>
      </c>
      <c r="F27" s="302"/>
    </row>
    <row r="28" spans="1:10" s="118" customFormat="1" ht="15" customHeight="1" x14ac:dyDescent="0.25">
      <c r="A28" s="253">
        <v>1</v>
      </c>
      <c r="B28" s="253">
        <v>2</v>
      </c>
      <c r="C28" s="253">
        <v>3</v>
      </c>
      <c r="D28" s="253">
        <v>4</v>
      </c>
      <c r="E28" s="302">
        <v>5</v>
      </c>
      <c r="F28" s="302"/>
    </row>
    <row r="29" spans="1:10" s="118" customFormat="1" ht="26.25" customHeight="1" x14ac:dyDescent="0.25">
      <c r="A29" s="253">
        <v>1</v>
      </c>
      <c r="B29" s="253" t="s">
        <v>827</v>
      </c>
      <c r="C29" s="133" t="s">
        <v>828</v>
      </c>
      <c r="D29" s="249" t="s">
        <v>828</v>
      </c>
      <c r="E29" s="380">
        <v>235</v>
      </c>
      <c r="F29" s="380"/>
    </row>
    <row r="30" spans="1:10" s="118" customFormat="1" ht="15" customHeight="1" x14ac:dyDescent="0.25">
      <c r="A30" s="254"/>
      <c r="B30" s="254" t="s">
        <v>450</v>
      </c>
      <c r="C30" s="254"/>
      <c r="D30" s="254" t="s">
        <v>451</v>
      </c>
      <c r="E30" s="383">
        <f>SUM(E29)</f>
        <v>235</v>
      </c>
      <c r="F30" s="384"/>
      <c r="G30" s="118">
        <f>'р.3 2019'!H90</f>
        <v>0</v>
      </c>
    </row>
    <row r="31" spans="1:10" s="118" customFormat="1" ht="15" customHeight="1" x14ac:dyDescent="0.25">
      <c r="A31" s="123"/>
      <c r="B31" s="123"/>
      <c r="C31" s="123"/>
      <c r="D31" s="123"/>
      <c r="E31" s="258"/>
      <c r="F31" s="259"/>
    </row>
    <row r="32" spans="1:10" ht="21" hidden="1" customHeight="1" x14ac:dyDescent="0.25">
      <c r="A32" s="307" t="s">
        <v>108</v>
      </c>
      <c r="B32" s="307"/>
      <c r="C32" s="307"/>
      <c r="D32" s="307"/>
      <c r="E32" s="307"/>
      <c r="F32" s="307"/>
    </row>
    <row r="33" spans="1:8" ht="15" hidden="1" customHeight="1" x14ac:dyDescent="0.25">
      <c r="A33" s="304" t="s">
        <v>2</v>
      </c>
      <c r="B33" s="304"/>
      <c r="C33" s="304"/>
      <c r="D33" s="304"/>
      <c r="E33" s="304"/>
      <c r="F33" s="304"/>
    </row>
    <row r="34" spans="1:8" ht="15" hidden="1" customHeight="1" x14ac:dyDescent="0.25">
      <c r="A34" s="382" t="s">
        <v>109</v>
      </c>
      <c r="B34" s="382"/>
      <c r="C34" s="382"/>
      <c r="D34" s="382"/>
      <c r="E34" s="382"/>
      <c r="F34" s="382"/>
    </row>
    <row r="35" spans="1:8" ht="15" hidden="1" customHeight="1" x14ac:dyDescent="0.25">
      <c r="A35" s="192" t="s">
        <v>442</v>
      </c>
      <c r="B35" s="378" t="s">
        <v>454</v>
      </c>
      <c r="C35" s="388"/>
      <c r="D35" s="379"/>
      <c r="E35" s="302" t="s">
        <v>110</v>
      </c>
      <c r="F35" s="302"/>
    </row>
    <row r="36" spans="1:8" ht="15" hidden="1" customHeight="1" x14ac:dyDescent="0.25">
      <c r="A36" s="192">
        <v>1</v>
      </c>
      <c r="B36" s="378">
        <v>2</v>
      </c>
      <c r="C36" s="388"/>
      <c r="D36" s="379"/>
      <c r="E36" s="302">
        <v>5</v>
      </c>
      <c r="F36" s="302"/>
    </row>
    <row r="37" spans="1:8" ht="27.75" hidden="1" customHeight="1" x14ac:dyDescent="0.25">
      <c r="A37" s="192">
        <v>1</v>
      </c>
      <c r="B37" s="385" t="s">
        <v>111</v>
      </c>
      <c r="C37" s="386"/>
      <c r="D37" s="387"/>
      <c r="E37" s="380"/>
      <c r="F37" s="380"/>
    </row>
    <row r="38" spans="1:8" ht="15" hidden="1" customHeight="1" x14ac:dyDescent="0.25">
      <c r="A38" s="193"/>
      <c r="B38" s="364" t="s">
        <v>450</v>
      </c>
      <c r="C38" s="365"/>
      <c r="D38" s="366"/>
      <c r="E38" s="383">
        <f>SUM(E37)</f>
        <v>0</v>
      </c>
      <c r="F38" s="384"/>
      <c r="G38" s="70">
        <f>'р.3 2019'!H91</f>
        <v>0</v>
      </c>
      <c r="H38" s="70">
        <f>E38-G38</f>
        <v>0</v>
      </c>
    </row>
    <row r="39" spans="1:8" ht="9.75" hidden="1" customHeight="1" x14ac:dyDescent="0.25"/>
    <row r="40" spans="1:8" ht="18.75" hidden="1" customHeight="1" x14ac:dyDescent="0.25">
      <c r="A40" s="308" t="s">
        <v>86</v>
      </c>
      <c r="B40" s="308"/>
      <c r="C40" s="308"/>
      <c r="D40" s="308"/>
      <c r="E40" s="308"/>
      <c r="F40" s="308"/>
    </row>
    <row r="41" spans="1:8" ht="17.25" hidden="1" customHeight="1" x14ac:dyDescent="0.25">
      <c r="A41" s="307" t="s">
        <v>85</v>
      </c>
      <c r="B41" s="307"/>
      <c r="C41" s="307"/>
      <c r="D41" s="307"/>
      <c r="E41" s="307"/>
      <c r="F41" s="307"/>
      <c r="G41" s="70" t="s">
        <v>91</v>
      </c>
    </row>
    <row r="42" spans="1:8" ht="23.25" hidden="1" customHeight="1" x14ac:dyDescent="0.25">
      <c r="A42" s="306" t="s">
        <v>113</v>
      </c>
      <c r="B42" s="306"/>
      <c r="C42" s="306"/>
      <c r="D42" s="306"/>
      <c r="E42" s="306"/>
      <c r="F42" s="306"/>
    </row>
    <row r="43" spans="1:8" ht="15" hidden="1" customHeight="1" x14ac:dyDescent="0.25">
      <c r="A43" s="382" t="s">
        <v>92</v>
      </c>
      <c r="B43" s="382"/>
      <c r="C43" s="382"/>
      <c r="D43" s="382"/>
      <c r="E43" s="382"/>
      <c r="F43" s="382"/>
    </row>
    <row r="44" spans="1:8" ht="15" hidden="1" customHeight="1" x14ac:dyDescent="0.25">
      <c r="A44" s="192" t="s">
        <v>442</v>
      </c>
      <c r="B44" s="378" t="s">
        <v>454</v>
      </c>
      <c r="C44" s="379"/>
      <c r="D44" s="192" t="s">
        <v>87</v>
      </c>
      <c r="E44" s="302" t="s">
        <v>89</v>
      </c>
      <c r="F44" s="302"/>
    </row>
    <row r="45" spans="1:8" ht="15" hidden="1" customHeight="1" x14ac:dyDescent="0.25">
      <c r="A45" s="192">
        <v>1</v>
      </c>
      <c r="B45" s="378">
        <v>2</v>
      </c>
      <c r="C45" s="379"/>
      <c r="D45" s="192">
        <v>3</v>
      </c>
      <c r="E45" s="302">
        <v>4</v>
      </c>
      <c r="F45" s="302"/>
    </row>
    <row r="46" spans="1:8" ht="42.75" hidden="1" customHeight="1" x14ac:dyDescent="0.25">
      <c r="A46" s="192">
        <v>1</v>
      </c>
      <c r="B46" s="385" t="s">
        <v>90</v>
      </c>
      <c r="C46" s="387"/>
      <c r="D46" s="133" t="s">
        <v>88</v>
      </c>
      <c r="E46" s="380"/>
      <c r="F46" s="380"/>
    </row>
    <row r="47" spans="1:8" ht="15" hidden="1" customHeight="1" x14ac:dyDescent="0.25">
      <c r="A47" s="192"/>
      <c r="B47" s="378" t="s">
        <v>450</v>
      </c>
      <c r="C47" s="379"/>
      <c r="D47" s="192" t="s">
        <v>451</v>
      </c>
      <c r="E47" s="380">
        <f>SUM(E46)</f>
        <v>0</v>
      </c>
      <c r="F47" s="381"/>
      <c r="G47" s="70">
        <f>'р.3 2019'!F92</f>
        <v>0</v>
      </c>
      <c r="H47" s="93">
        <f>E47-G47</f>
        <v>0</v>
      </c>
    </row>
    <row r="48" spans="1:8" ht="8.25" customHeight="1" x14ac:dyDescent="0.25"/>
    <row r="49" spans="1:6" ht="8.25" hidden="1" customHeight="1" x14ac:dyDescent="0.25"/>
    <row r="50" spans="1:6" ht="13.5" hidden="1" customHeight="1" x14ac:dyDescent="0.25">
      <c r="A50" s="308" t="s">
        <v>516</v>
      </c>
      <c r="B50" s="308"/>
      <c r="C50" s="308"/>
      <c r="D50" s="308"/>
      <c r="E50" s="308"/>
      <c r="F50" s="308"/>
    </row>
    <row r="51" spans="1:6" ht="14.25" hidden="1" customHeight="1" x14ac:dyDescent="0.25">
      <c r="A51" s="308" t="s">
        <v>517</v>
      </c>
      <c r="B51" s="308"/>
      <c r="C51" s="308"/>
      <c r="D51" s="308"/>
      <c r="E51" s="308"/>
      <c r="F51" s="308"/>
    </row>
    <row r="52" spans="1:6" ht="5.25" hidden="1" customHeight="1" x14ac:dyDescent="0.25"/>
    <row r="53" spans="1:6" ht="5.25" hidden="1" customHeight="1" x14ac:dyDescent="0.25">
      <c r="A53" s="304" t="s">
        <v>461</v>
      </c>
      <c r="B53" s="304"/>
      <c r="C53" s="304"/>
      <c r="D53" s="304"/>
      <c r="E53" s="304"/>
      <c r="F53" s="304"/>
    </row>
    <row r="54" spans="1:6" ht="5.25" hidden="1" customHeight="1" x14ac:dyDescent="0.25">
      <c r="A54" s="184" t="s">
        <v>462</v>
      </c>
      <c r="B54" s="95"/>
      <c r="C54" s="95"/>
      <c r="D54" s="95"/>
      <c r="E54" s="95"/>
      <c r="F54" s="95"/>
    </row>
    <row r="55" spans="1:6" ht="5.25" hidden="1" customHeight="1" x14ac:dyDescent="0.25"/>
    <row r="56" spans="1:6" ht="5.25" hidden="1" customHeight="1" x14ac:dyDescent="0.25">
      <c r="A56" s="185" t="s">
        <v>442</v>
      </c>
      <c r="B56" s="302" t="s">
        <v>183</v>
      </c>
      <c r="C56" s="302"/>
      <c r="D56" s="185" t="s">
        <v>513</v>
      </c>
      <c r="E56" s="185" t="s">
        <v>514</v>
      </c>
      <c r="F56" s="185" t="s">
        <v>518</v>
      </c>
    </row>
    <row r="57" spans="1:6" ht="5.25" hidden="1" customHeight="1" x14ac:dyDescent="0.25">
      <c r="A57" s="185">
        <v>1</v>
      </c>
      <c r="B57" s="361">
        <v>2</v>
      </c>
      <c r="C57" s="362"/>
      <c r="D57" s="185">
        <v>3</v>
      </c>
      <c r="E57" s="185">
        <v>4</v>
      </c>
      <c r="F57" s="185">
        <v>5</v>
      </c>
    </row>
    <row r="58" spans="1:6" ht="5.25" hidden="1" customHeight="1" x14ac:dyDescent="0.25">
      <c r="A58" s="185"/>
      <c r="B58" s="361"/>
      <c r="C58" s="362"/>
      <c r="D58" s="185"/>
      <c r="E58" s="185"/>
      <c r="F58" s="185"/>
    </row>
    <row r="59" spans="1:6" ht="5.25" hidden="1" customHeight="1" x14ac:dyDescent="0.25">
      <c r="A59" s="185"/>
      <c r="B59" s="361" t="s">
        <v>450</v>
      </c>
      <c r="C59" s="362"/>
      <c r="D59" s="185" t="s">
        <v>451</v>
      </c>
      <c r="E59" s="185" t="s">
        <v>451</v>
      </c>
      <c r="F59" s="185"/>
    </row>
    <row r="60" spans="1:6" s="72" customFormat="1" ht="5.25" hidden="1" customHeight="1" x14ac:dyDescent="0.25"/>
    <row r="61" spans="1:6" s="72" customFormat="1" ht="12" hidden="1" customHeight="1" x14ac:dyDescent="0.25">
      <c r="A61" s="308" t="s">
        <v>524</v>
      </c>
      <c r="B61" s="308"/>
      <c r="C61" s="308"/>
      <c r="D61" s="308"/>
      <c r="E61" s="308"/>
      <c r="F61" s="308"/>
    </row>
    <row r="62" spans="1:6" s="72" customFormat="1" ht="11.25" hidden="1" customHeight="1" x14ac:dyDescent="0.25">
      <c r="A62" s="308" t="s">
        <v>525</v>
      </c>
      <c r="B62" s="308"/>
      <c r="C62" s="308"/>
      <c r="D62" s="308"/>
      <c r="E62" s="308"/>
      <c r="F62" s="308"/>
    </row>
    <row r="63" spans="1:6" s="72" customFormat="1" ht="5.25" hidden="1" customHeight="1" x14ac:dyDescent="0.25"/>
    <row r="64" spans="1:6" s="72" customFormat="1" ht="5.25" hidden="1" customHeight="1" x14ac:dyDescent="0.25">
      <c r="A64" s="304" t="s">
        <v>461</v>
      </c>
      <c r="B64" s="304"/>
      <c r="C64" s="304"/>
      <c r="D64" s="304"/>
      <c r="E64" s="304"/>
      <c r="F64" s="304"/>
    </row>
    <row r="65" spans="1:8" s="72" customFormat="1" ht="5.25" hidden="1" customHeight="1" x14ac:dyDescent="0.25">
      <c r="A65" s="304" t="s">
        <v>462</v>
      </c>
      <c r="B65" s="304"/>
      <c r="C65" s="304"/>
      <c r="D65" s="304"/>
      <c r="E65" s="304"/>
      <c r="F65" s="304"/>
      <c r="H65" s="72" t="s">
        <v>0</v>
      </c>
    </row>
    <row r="66" spans="1:8" hidden="1" x14ac:dyDescent="0.25"/>
    <row r="67" spans="1:8" ht="5.25" hidden="1" customHeight="1" x14ac:dyDescent="0.25">
      <c r="A67" s="192" t="s">
        <v>442</v>
      </c>
      <c r="B67" s="302" t="s">
        <v>183</v>
      </c>
      <c r="C67" s="302"/>
      <c r="D67" s="192" t="s">
        <v>513</v>
      </c>
      <c r="E67" s="192" t="s">
        <v>514</v>
      </c>
      <c r="F67" s="192" t="s">
        <v>518</v>
      </c>
    </row>
    <row r="68" spans="1:8" ht="5.25" hidden="1" customHeight="1" x14ac:dyDescent="0.25">
      <c r="A68" s="192">
        <v>1</v>
      </c>
      <c r="B68" s="302">
        <v>2</v>
      </c>
      <c r="C68" s="302"/>
      <c r="D68" s="192">
        <v>3</v>
      </c>
      <c r="E68" s="192">
        <v>4</v>
      </c>
      <c r="F68" s="192">
        <v>5</v>
      </c>
    </row>
    <row r="69" spans="1:8" ht="5.25" hidden="1" customHeight="1" x14ac:dyDescent="0.25">
      <c r="A69" s="192"/>
      <c r="B69" s="302"/>
      <c r="C69" s="302"/>
      <c r="D69" s="192"/>
      <c r="E69" s="192"/>
      <c r="F69" s="192"/>
    </row>
    <row r="70" spans="1:8" ht="5.25" hidden="1" customHeight="1" x14ac:dyDescent="0.25">
      <c r="A70" s="192"/>
      <c r="B70" s="302"/>
      <c r="C70" s="302"/>
      <c r="D70" s="192"/>
      <c r="E70" s="192"/>
      <c r="F70" s="192"/>
    </row>
    <row r="71" spans="1:8" ht="5.25" hidden="1" customHeight="1" x14ac:dyDescent="0.25">
      <c r="A71" s="192"/>
      <c r="B71" s="302" t="s">
        <v>450</v>
      </c>
      <c r="C71" s="302"/>
      <c r="D71" s="192" t="s">
        <v>451</v>
      </c>
      <c r="E71" s="192" t="s">
        <v>451</v>
      </c>
      <c r="F71" s="192"/>
    </row>
    <row r="72" spans="1:8" ht="10.5" hidden="1" customHeight="1" x14ac:dyDescent="0.25"/>
    <row r="73" spans="1:8" ht="13.5" hidden="1" customHeight="1" x14ac:dyDescent="0.25">
      <c r="A73" s="382" t="s">
        <v>104</v>
      </c>
      <c r="B73" s="382"/>
      <c r="C73" s="382"/>
      <c r="D73" s="382"/>
      <c r="E73" s="382"/>
      <c r="F73" s="382"/>
    </row>
    <row r="74" spans="1:8" ht="21" hidden="1" customHeight="1" x14ac:dyDescent="0.25">
      <c r="A74" s="192" t="s">
        <v>442</v>
      </c>
      <c r="B74" s="378" t="s">
        <v>454</v>
      </c>
      <c r="C74" s="379"/>
      <c r="D74" s="192" t="s">
        <v>87</v>
      </c>
      <c r="E74" s="302" t="s">
        <v>89</v>
      </c>
      <c r="F74" s="302"/>
    </row>
    <row r="75" spans="1:8" ht="15.75" hidden="1" customHeight="1" x14ac:dyDescent="0.25">
      <c r="A75" s="192">
        <v>1</v>
      </c>
      <c r="B75" s="378">
        <v>2</v>
      </c>
      <c r="C75" s="379"/>
      <c r="D75" s="192">
        <v>3</v>
      </c>
      <c r="E75" s="302">
        <v>4</v>
      </c>
      <c r="F75" s="302"/>
    </row>
    <row r="76" spans="1:8" ht="91.5" hidden="1" customHeight="1" x14ac:dyDescent="0.25">
      <c r="A76" s="192">
        <v>1</v>
      </c>
      <c r="B76" s="378" t="s">
        <v>90</v>
      </c>
      <c r="C76" s="379"/>
      <c r="D76" s="133" t="s">
        <v>103</v>
      </c>
      <c r="E76" s="380">
        <f>655.8-655.8</f>
        <v>0</v>
      </c>
      <c r="F76" s="380"/>
    </row>
    <row r="77" spans="1:8" ht="15.75" hidden="1" customHeight="1" x14ac:dyDescent="0.25">
      <c r="A77" s="192"/>
      <c r="B77" s="378" t="s">
        <v>450</v>
      </c>
      <c r="C77" s="379"/>
      <c r="D77" s="192" t="s">
        <v>451</v>
      </c>
      <c r="E77" s="380">
        <f>SUM(E76)</f>
        <v>0</v>
      </c>
      <c r="F77" s="381"/>
    </row>
    <row r="78" spans="1:8" ht="10.5" hidden="1" customHeight="1" x14ac:dyDescent="0.25"/>
    <row r="79" spans="1:8" ht="10.5" hidden="1" customHeight="1" x14ac:dyDescent="0.25"/>
    <row r="80" spans="1:8" ht="15" customHeight="1" x14ac:dyDescent="0.25">
      <c r="A80" s="308" t="s">
        <v>526</v>
      </c>
      <c r="B80" s="308"/>
      <c r="C80" s="308"/>
      <c r="D80" s="308"/>
      <c r="E80" s="308"/>
      <c r="F80" s="308"/>
    </row>
    <row r="81" spans="1:10" ht="6" customHeight="1" x14ac:dyDescent="0.25">
      <c r="A81" s="308"/>
      <c r="B81" s="308"/>
      <c r="C81" s="308"/>
      <c r="D81" s="308"/>
      <c r="E81" s="308"/>
      <c r="F81" s="308"/>
    </row>
    <row r="82" spans="1:10" ht="16.5" customHeight="1" x14ac:dyDescent="0.25">
      <c r="A82" s="301" t="s">
        <v>138</v>
      </c>
      <c r="B82" s="301"/>
      <c r="C82" s="301"/>
      <c r="D82" s="301"/>
      <c r="E82" s="301"/>
      <c r="F82" s="301"/>
    </row>
    <row r="83" spans="1:10" ht="27" customHeight="1" x14ac:dyDescent="0.25">
      <c r="A83" s="301" t="s">
        <v>114</v>
      </c>
      <c r="B83" s="301"/>
      <c r="C83" s="301"/>
      <c r="D83" s="301"/>
      <c r="E83" s="301"/>
      <c r="F83" s="301"/>
      <c r="G83" s="96"/>
      <c r="H83" s="96"/>
      <c r="I83" s="96"/>
      <c r="J83" s="96"/>
    </row>
    <row r="84" spans="1:10" ht="4.5" customHeight="1" x14ac:dyDescent="0.25">
      <c r="A84" s="308"/>
      <c r="B84" s="308"/>
      <c r="C84" s="308"/>
      <c r="D84" s="308"/>
      <c r="E84" s="308"/>
      <c r="F84" s="308"/>
    </row>
    <row r="85" spans="1:10" ht="15" customHeight="1" x14ac:dyDescent="0.25">
      <c r="A85" s="308" t="s">
        <v>682</v>
      </c>
      <c r="B85" s="308"/>
      <c r="C85" s="308"/>
      <c r="D85" s="308"/>
      <c r="E85" s="308"/>
      <c r="F85" s="308"/>
    </row>
    <row r="86" spans="1:10" ht="3.75" customHeight="1" x14ac:dyDescent="0.25"/>
    <row r="87" spans="1:10" ht="15.75" x14ac:dyDescent="0.25">
      <c r="A87" s="308" t="s">
        <v>683</v>
      </c>
      <c r="B87" s="308"/>
      <c r="C87" s="308"/>
      <c r="D87" s="308"/>
      <c r="E87" s="308"/>
      <c r="F87" s="308"/>
    </row>
    <row r="88" spans="1:10" ht="30" customHeight="1" x14ac:dyDescent="0.25">
      <c r="A88" s="192" t="s">
        <v>442</v>
      </c>
      <c r="B88" s="192" t="s">
        <v>454</v>
      </c>
      <c r="C88" s="192" t="s">
        <v>527</v>
      </c>
      <c r="D88" s="192" t="s">
        <v>528</v>
      </c>
      <c r="E88" s="192" t="s">
        <v>529</v>
      </c>
      <c r="F88" s="192" t="s">
        <v>458</v>
      </c>
    </row>
    <row r="89" spans="1:10" ht="15" customHeight="1" x14ac:dyDescent="0.25">
      <c r="A89" s="192">
        <v>1</v>
      </c>
      <c r="B89" s="192">
        <v>2</v>
      </c>
      <c r="C89" s="192">
        <v>3</v>
      </c>
      <c r="D89" s="192">
        <v>4</v>
      </c>
      <c r="E89" s="192">
        <v>5</v>
      </c>
      <c r="F89" s="192">
        <v>6</v>
      </c>
    </row>
    <row r="90" spans="1:10" ht="27" customHeight="1" x14ac:dyDescent="0.25">
      <c r="A90" s="192">
        <v>1</v>
      </c>
      <c r="B90" s="147" t="s">
        <v>730</v>
      </c>
      <c r="C90" s="192">
        <v>1</v>
      </c>
      <c r="D90" s="192">
        <v>12</v>
      </c>
      <c r="E90" s="117">
        <v>1416.6635869565216</v>
      </c>
      <c r="F90" s="117">
        <f>ROUND(C90*D90*E90,0)</f>
        <v>17000</v>
      </c>
    </row>
    <row r="91" spans="1:10" ht="15" customHeight="1" x14ac:dyDescent="0.25">
      <c r="A91" s="192"/>
      <c r="B91" s="148" t="s">
        <v>450</v>
      </c>
      <c r="C91" s="192" t="s">
        <v>451</v>
      </c>
      <c r="D91" s="192" t="s">
        <v>451</v>
      </c>
      <c r="E91" s="192" t="s">
        <v>451</v>
      </c>
      <c r="F91" s="117">
        <f>SUM(F90)</f>
        <v>17000</v>
      </c>
      <c r="G91" s="70">
        <f>'р.3 2019'!H107</f>
        <v>17000</v>
      </c>
      <c r="H91" s="93">
        <f>F91-G91</f>
        <v>0</v>
      </c>
    </row>
    <row r="92" spans="1:10" ht="12.75" customHeight="1" x14ac:dyDescent="0.25">
      <c r="A92" s="97"/>
    </row>
    <row r="93" spans="1:10" ht="15.75" x14ac:dyDescent="0.25">
      <c r="A93" s="308" t="s">
        <v>684</v>
      </c>
      <c r="B93" s="308"/>
      <c r="C93" s="308"/>
      <c r="D93" s="308"/>
      <c r="E93" s="308"/>
      <c r="F93" s="308"/>
    </row>
    <row r="94" spans="1:10" ht="30" customHeight="1" x14ac:dyDescent="0.25">
      <c r="A94" s="192" t="s">
        <v>442</v>
      </c>
      <c r="B94" s="192" t="s">
        <v>454</v>
      </c>
      <c r="C94" s="192" t="s">
        <v>527</v>
      </c>
      <c r="D94" s="192" t="s">
        <v>528</v>
      </c>
      <c r="E94" s="192" t="s">
        <v>529</v>
      </c>
      <c r="F94" s="192" t="s">
        <v>458</v>
      </c>
    </row>
    <row r="95" spans="1:10" ht="15" customHeight="1" x14ac:dyDescent="0.25">
      <c r="A95" s="192">
        <v>1</v>
      </c>
      <c r="B95" s="192">
        <v>2</v>
      </c>
      <c r="C95" s="192">
        <v>3</v>
      </c>
      <c r="D95" s="192">
        <v>4</v>
      </c>
      <c r="E95" s="192">
        <v>5</v>
      </c>
      <c r="F95" s="192">
        <v>6</v>
      </c>
    </row>
    <row r="96" spans="1:10" ht="42.75" customHeight="1" x14ac:dyDescent="0.25">
      <c r="A96" s="192">
        <v>1</v>
      </c>
      <c r="B96" s="147" t="s">
        <v>729</v>
      </c>
      <c r="C96" s="192">
        <v>1</v>
      </c>
      <c r="D96" s="192">
        <v>12</v>
      </c>
      <c r="E96" s="117">
        <v>4000</v>
      </c>
      <c r="F96" s="117">
        <f>ROUND(C96*D96*E96,0)</f>
        <v>48000</v>
      </c>
    </row>
    <row r="97" spans="1:10" ht="15" customHeight="1" x14ac:dyDescent="0.25">
      <c r="A97" s="192"/>
      <c r="B97" s="148" t="s">
        <v>450</v>
      </c>
      <c r="C97" s="192" t="s">
        <v>451</v>
      </c>
      <c r="D97" s="192" t="s">
        <v>451</v>
      </c>
      <c r="E97" s="192" t="s">
        <v>451</v>
      </c>
      <c r="F97" s="117">
        <f>SUM(F96)</f>
        <v>48000</v>
      </c>
      <c r="G97" s="70">
        <f>'р.3 2019'!E108</f>
        <v>48000</v>
      </c>
      <c r="H97" s="93">
        <f>F97-G97</f>
        <v>0</v>
      </c>
    </row>
    <row r="98" spans="1:10" ht="6.75" customHeight="1" x14ac:dyDescent="0.25">
      <c r="A98" s="97"/>
    </row>
    <row r="99" spans="1:10" ht="6.75" customHeight="1" x14ac:dyDescent="0.25">
      <c r="A99" s="97"/>
    </row>
    <row r="100" spans="1:10" ht="15.75" x14ac:dyDescent="0.25">
      <c r="A100" s="377" t="s">
        <v>79</v>
      </c>
      <c r="B100" s="377"/>
      <c r="C100" s="377"/>
      <c r="D100" s="377"/>
      <c r="E100" s="377"/>
      <c r="F100" s="377"/>
    </row>
    <row r="101" spans="1:10" ht="15" customHeight="1" x14ac:dyDescent="0.25">
      <c r="A101" s="308" t="s">
        <v>530</v>
      </c>
      <c r="B101" s="308"/>
      <c r="C101" s="308"/>
      <c r="D101" s="308"/>
      <c r="E101" s="308"/>
      <c r="F101" s="308"/>
    </row>
    <row r="102" spans="1:10" ht="15.75" x14ac:dyDescent="0.25">
      <c r="A102" s="391" t="s">
        <v>28</v>
      </c>
      <c r="B102" s="391"/>
      <c r="C102" s="391"/>
      <c r="D102" s="391"/>
      <c r="E102" s="391"/>
      <c r="F102" s="391"/>
      <c r="I102" s="70">
        <v>22</v>
      </c>
    </row>
    <row r="103" spans="1:10" ht="30" customHeight="1" x14ac:dyDescent="0.25">
      <c r="A103" s="192" t="s">
        <v>442</v>
      </c>
      <c r="B103" s="302" t="s">
        <v>454</v>
      </c>
      <c r="C103" s="302"/>
      <c r="D103" s="192" t="s">
        <v>531</v>
      </c>
      <c r="E103" s="192" t="s">
        <v>532</v>
      </c>
      <c r="F103" s="192" t="s">
        <v>533</v>
      </c>
    </row>
    <row r="104" spans="1:10" ht="15" customHeight="1" x14ac:dyDescent="0.25">
      <c r="A104" s="192">
        <v>1</v>
      </c>
      <c r="B104" s="302">
        <v>2</v>
      </c>
      <c r="C104" s="302"/>
      <c r="D104" s="192">
        <v>3</v>
      </c>
      <c r="E104" s="192">
        <v>4</v>
      </c>
      <c r="F104" s="192">
        <v>5</v>
      </c>
    </row>
    <row r="105" spans="1:10" ht="31.5" customHeight="1" x14ac:dyDescent="0.25">
      <c r="A105" s="192">
        <v>1</v>
      </c>
      <c r="B105" s="312" t="s">
        <v>29</v>
      </c>
      <c r="C105" s="313"/>
      <c r="D105" s="133">
        <v>253</v>
      </c>
      <c r="E105" s="133">
        <v>3105.1391844231525</v>
      </c>
      <c r="F105" s="133">
        <f>ROUND(D105*E105,2)</f>
        <v>785600.21</v>
      </c>
      <c r="H105" s="93"/>
      <c r="J105" s="70">
        <f>G110/E105</f>
        <v>304.33418403289846</v>
      </c>
    </row>
    <row r="106" spans="1:10" ht="31.5" hidden="1" customHeight="1" x14ac:dyDescent="0.25">
      <c r="A106" s="192">
        <v>2</v>
      </c>
      <c r="B106" s="312" t="s">
        <v>31</v>
      </c>
      <c r="C106" s="313"/>
      <c r="D106" s="133"/>
      <c r="E106" s="133">
        <v>3500</v>
      </c>
      <c r="F106" s="133">
        <f>ROUND(D106*E106,0)</f>
        <v>0</v>
      </c>
    </row>
    <row r="107" spans="1:10" ht="31.5" hidden="1" customHeight="1" x14ac:dyDescent="0.25">
      <c r="A107" s="192">
        <v>3</v>
      </c>
      <c r="B107" s="312" t="s">
        <v>30</v>
      </c>
      <c r="C107" s="313"/>
      <c r="D107" s="133"/>
      <c r="E107" s="133">
        <v>3500</v>
      </c>
      <c r="F107" s="133">
        <f>ROUND(D107*E107,0)</f>
        <v>0</v>
      </c>
    </row>
    <row r="108" spans="1:10" ht="31.5" hidden="1" customHeight="1" x14ac:dyDescent="0.25">
      <c r="A108" s="192">
        <v>4</v>
      </c>
      <c r="B108" s="312" t="s">
        <v>32</v>
      </c>
      <c r="C108" s="313"/>
      <c r="D108" s="133"/>
      <c r="E108" s="133">
        <v>714</v>
      </c>
      <c r="F108" s="133">
        <f>ROUND(D108*E108,0)</f>
        <v>0</v>
      </c>
      <c r="G108" s="149"/>
    </row>
    <row r="109" spans="1:10" ht="31.5" hidden="1" customHeight="1" x14ac:dyDescent="0.25">
      <c r="A109" s="192">
        <v>5</v>
      </c>
      <c r="B109" s="312" t="s">
        <v>32</v>
      </c>
      <c r="C109" s="313"/>
      <c r="D109" s="133"/>
      <c r="E109" s="133">
        <v>685.26948891625602</v>
      </c>
      <c r="F109" s="133">
        <f>ROUND(D109*E109,0)</f>
        <v>0</v>
      </c>
    </row>
    <row r="110" spans="1:10" ht="15" customHeight="1" x14ac:dyDescent="0.25">
      <c r="A110" s="192"/>
      <c r="B110" s="302" t="s">
        <v>450</v>
      </c>
      <c r="C110" s="302"/>
      <c r="D110" s="192"/>
      <c r="E110" s="192"/>
      <c r="F110" s="117">
        <f>SUM(F105:F109)</f>
        <v>785600.21</v>
      </c>
      <c r="G110" s="70">
        <f>'р.3 2019'!R109</f>
        <v>945000</v>
      </c>
      <c r="H110" s="93">
        <f>G110-F110</f>
        <v>159399.79000000004</v>
      </c>
    </row>
    <row r="111" spans="1:10" ht="10.5" customHeight="1" x14ac:dyDescent="0.25"/>
    <row r="112" spans="1:10" ht="28.5" customHeight="1" x14ac:dyDescent="0.25">
      <c r="A112" s="395" t="s">
        <v>94</v>
      </c>
      <c r="B112" s="395"/>
      <c r="C112" s="395"/>
      <c r="D112" s="395"/>
      <c r="E112" s="395"/>
      <c r="F112" s="395"/>
    </row>
    <row r="113" spans="1:13" ht="18" customHeight="1" x14ac:dyDescent="0.25">
      <c r="A113" s="308" t="s">
        <v>534</v>
      </c>
      <c r="B113" s="308"/>
      <c r="C113" s="308"/>
      <c r="D113" s="308"/>
      <c r="E113" s="308"/>
      <c r="F113" s="308"/>
    </row>
    <row r="114" spans="1:13" ht="9" customHeight="1" x14ac:dyDescent="0.25">
      <c r="A114" s="188"/>
      <c r="B114" s="188"/>
      <c r="C114" s="188"/>
      <c r="D114" s="188"/>
      <c r="E114" s="188"/>
      <c r="F114" s="188"/>
    </row>
    <row r="115" spans="1:13" ht="15.75" customHeight="1" x14ac:dyDescent="0.25">
      <c r="A115" s="345" t="s">
        <v>68</v>
      </c>
      <c r="B115" s="345"/>
      <c r="C115" s="345"/>
      <c r="D115" s="345"/>
      <c r="E115" s="345"/>
      <c r="F115" s="345"/>
      <c r="I115" s="70">
        <v>223</v>
      </c>
    </row>
    <row r="116" spans="1:13" ht="36" customHeight="1" x14ac:dyDescent="0.25">
      <c r="A116" s="192" t="s">
        <v>442</v>
      </c>
      <c r="B116" s="192" t="s">
        <v>183</v>
      </c>
      <c r="C116" s="192" t="s">
        <v>535</v>
      </c>
      <c r="D116" s="192" t="s">
        <v>536</v>
      </c>
      <c r="E116" s="192" t="s">
        <v>537</v>
      </c>
      <c r="F116" s="192" t="s">
        <v>538</v>
      </c>
      <c r="I116" s="94" t="s">
        <v>33</v>
      </c>
    </row>
    <row r="117" spans="1:13" ht="15" customHeight="1" x14ac:dyDescent="0.25">
      <c r="A117" s="192">
        <v>1</v>
      </c>
      <c r="B117" s="192">
        <v>2</v>
      </c>
      <c r="C117" s="192">
        <v>3</v>
      </c>
      <c r="D117" s="192">
        <v>4</v>
      </c>
      <c r="E117" s="192">
        <v>5</v>
      </c>
      <c r="F117" s="192">
        <v>6</v>
      </c>
    </row>
    <row r="118" spans="1:13" ht="75.75" customHeight="1" x14ac:dyDescent="0.25">
      <c r="A118" s="185">
        <v>1</v>
      </c>
      <c r="B118" s="147" t="s">
        <v>731</v>
      </c>
      <c r="C118" s="185">
        <v>114.44499999999999</v>
      </c>
      <c r="D118" s="140">
        <v>2407.5300000000002</v>
      </c>
      <c r="E118" s="185"/>
      <c r="F118" s="133">
        <f>ROUND(C118*D118,0)</f>
        <v>275530</v>
      </c>
    </row>
    <row r="119" spans="1:13" ht="75" customHeight="1" x14ac:dyDescent="0.25">
      <c r="A119" s="185">
        <v>2</v>
      </c>
      <c r="B119" s="147" t="s">
        <v>732</v>
      </c>
      <c r="C119" s="205">
        <v>127.72132983183269</v>
      </c>
      <c r="D119" s="140">
        <v>2407.5300000000002</v>
      </c>
      <c r="E119" s="192"/>
      <c r="F119" s="133">
        <f>ROUND(C119*D119,2)+1.8</f>
        <v>307494.73</v>
      </c>
      <c r="J119" s="93">
        <f>H120+F119</f>
        <v>354670</v>
      </c>
    </row>
    <row r="120" spans="1:13" s="118" customFormat="1" ht="15.75" customHeight="1" x14ac:dyDescent="0.25">
      <c r="A120" s="189"/>
      <c r="B120" s="193" t="s">
        <v>603</v>
      </c>
      <c r="C120" s="192" t="s">
        <v>451</v>
      </c>
      <c r="D120" s="192" t="s">
        <v>451</v>
      </c>
      <c r="E120" s="192" t="s">
        <v>451</v>
      </c>
      <c r="F120" s="150">
        <f>SUM(F118:F119)</f>
        <v>583024.73</v>
      </c>
      <c r="G120" s="93">
        <f>'р.3 2019'!H110</f>
        <v>630200</v>
      </c>
      <c r="H120" s="93">
        <f>G120-F120</f>
        <v>47175.270000000019</v>
      </c>
      <c r="I120" s="93">
        <f>G120-H120</f>
        <v>583024.73</v>
      </c>
    </row>
    <row r="121" spans="1:13" s="145" customFormat="1" ht="6" customHeight="1" x14ac:dyDescent="0.25">
      <c r="A121" s="141"/>
      <c r="B121" s="94"/>
      <c r="C121" s="141"/>
      <c r="D121" s="142"/>
      <c r="E121" s="94"/>
      <c r="F121" s="143"/>
      <c r="G121" s="202"/>
      <c r="H121" s="203"/>
      <c r="I121" s="202"/>
    </row>
    <row r="122" spans="1:13" ht="30" customHeight="1" x14ac:dyDescent="0.25">
      <c r="A122" s="345" t="s">
        <v>69</v>
      </c>
      <c r="B122" s="345"/>
      <c r="C122" s="345"/>
      <c r="D122" s="345"/>
      <c r="E122" s="345"/>
      <c r="F122" s="345"/>
      <c r="G122" s="128"/>
      <c r="H122" s="126"/>
      <c r="I122" s="128"/>
    </row>
    <row r="123" spans="1:13" ht="30.75" customHeight="1" x14ac:dyDescent="0.25">
      <c r="A123" s="192" t="s">
        <v>442</v>
      </c>
      <c r="B123" s="192" t="s">
        <v>183</v>
      </c>
      <c r="C123" s="192" t="s">
        <v>535</v>
      </c>
      <c r="D123" s="192" t="s">
        <v>536</v>
      </c>
      <c r="E123" s="192" t="s">
        <v>537</v>
      </c>
      <c r="F123" s="192" t="s">
        <v>538</v>
      </c>
      <c r="G123" s="93"/>
      <c r="I123" s="93"/>
    </row>
    <row r="124" spans="1:13" ht="15" customHeight="1" x14ac:dyDescent="0.25">
      <c r="A124" s="192">
        <v>1</v>
      </c>
      <c r="B124" s="192">
        <v>2</v>
      </c>
      <c r="C124" s="192">
        <v>3</v>
      </c>
      <c r="D124" s="192">
        <v>4</v>
      </c>
      <c r="E124" s="192">
        <v>5</v>
      </c>
      <c r="F124" s="192">
        <v>6</v>
      </c>
      <c r="G124" s="93"/>
      <c r="I124" s="93"/>
    </row>
    <row r="125" spans="1:13" ht="27.75" customHeight="1" x14ac:dyDescent="0.25">
      <c r="A125" s="196">
        <v>3</v>
      </c>
      <c r="B125" s="151" t="s">
        <v>72</v>
      </c>
      <c r="C125" s="200">
        <v>16288.710482035851</v>
      </c>
      <c r="D125" s="152">
        <v>3.81</v>
      </c>
      <c r="E125" s="151"/>
      <c r="F125" s="200">
        <f>ROUND(C125*D125,2)</f>
        <v>62059.99</v>
      </c>
      <c r="G125" s="93"/>
      <c r="I125" s="93"/>
      <c r="L125" s="70">
        <f>F125/F127</f>
        <v>0.75726642152511237</v>
      </c>
      <c r="M125" s="70">
        <f>L125*G127</f>
        <v>83299.306367762358</v>
      </c>
    </row>
    <row r="126" spans="1:13" ht="27.75" customHeight="1" x14ac:dyDescent="0.25">
      <c r="A126" s="185">
        <v>4</v>
      </c>
      <c r="B126" s="192" t="s">
        <v>73</v>
      </c>
      <c r="C126" s="205">
        <v>5221.1694322230587</v>
      </c>
      <c r="D126" s="140">
        <v>3.81</v>
      </c>
      <c r="E126" s="192"/>
      <c r="F126" s="133">
        <f>ROUND(C126*D126,2)</f>
        <v>19892.66</v>
      </c>
      <c r="G126" s="93"/>
      <c r="J126" s="93">
        <f>F126-H127</f>
        <v>47940.010000000009</v>
      </c>
      <c r="L126" s="70">
        <f>F126/F127</f>
        <v>0.24273357847488766</v>
      </c>
      <c r="M126" s="70">
        <f>L126*G127</f>
        <v>26700.693632237642</v>
      </c>
    </row>
    <row r="127" spans="1:13" ht="16.5" customHeight="1" x14ac:dyDescent="0.25">
      <c r="A127" s="185"/>
      <c r="B127" s="192" t="s">
        <v>450</v>
      </c>
      <c r="C127" s="192" t="s">
        <v>451</v>
      </c>
      <c r="D127" s="192" t="s">
        <v>451</v>
      </c>
      <c r="E127" s="192" t="s">
        <v>451</v>
      </c>
      <c r="F127" s="150">
        <f>SUM(F125:F126)</f>
        <v>81952.649999999994</v>
      </c>
      <c r="G127" s="93">
        <f>'р.3 2019'!H111</f>
        <v>110000</v>
      </c>
      <c r="H127" s="93">
        <f>F127-G127</f>
        <v>-28047.350000000006</v>
      </c>
      <c r="I127" s="93">
        <f>G127-H127</f>
        <v>138047.35</v>
      </c>
    </row>
    <row r="128" spans="1:13" s="126" customFormat="1" ht="9.75" customHeight="1" x14ac:dyDescent="0.25">
      <c r="A128" s="141"/>
      <c r="B128" s="94"/>
      <c r="C128" s="94"/>
      <c r="D128" s="94"/>
      <c r="E128" s="94"/>
      <c r="F128" s="143"/>
      <c r="G128" s="93"/>
      <c r="H128" s="70"/>
      <c r="I128" s="93"/>
    </row>
    <row r="129" spans="1:10" s="126" customFormat="1" ht="36.75" customHeight="1" x14ac:dyDescent="0.25">
      <c r="A129" s="345" t="s">
        <v>70</v>
      </c>
      <c r="B129" s="345"/>
      <c r="C129" s="345"/>
      <c r="D129" s="345"/>
      <c r="E129" s="345"/>
      <c r="F129" s="345"/>
      <c r="G129" s="128"/>
      <c r="I129" s="128"/>
    </row>
    <row r="130" spans="1:10" s="126" customFormat="1" ht="30" customHeight="1" x14ac:dyDescent="0.25">
      <c r="A130" s="192" t="s">
        <v>442</v>
      </c>
      <c r="B130" s="192" t="s">
        <v>183</v>
      </c>
      <c r="C130" s="192" t="s">
        <v>535</v>
      </c>
      <c r="D130" s="192" t="s">
        <v>536</v>
      </c>
      <c r="E130" s="192" t="s">
        <v>537</v>
      </c>
      <c r="F130" s="192" t="s">
        <v>538</v>
      </c>
      <c r="G130" s="128"/>
      <c r="I130" s="128"/>
    </row>
    <row r="131" spans="1:10" s="126" customFormat="1" ht="20.25" customHeight="1" x14ac:dyDescent="0.25">
      <c r="A131" s="192">
        <v>1</v>
      </c>
      <c r="B131" s="192">
        <v>2</v>
      </c>
      <c r="C131" s="192">
        <v>3</v>
      </c>
      <c r="D131" s="192">
        <v>4</v>
      </c>
      <c r="E131" s="192">
        <v>5</v>
      </c>
      <c r="F131" s="192">
        <v>6</v>
      </c>
      <c r="G131" s="128"/>
      <c r="I131" s="128"/>
    </row>
    <row r="132" spans="1:10" ht="42" customHeight="1" x14ac:dyDescent="0.25">
      <c r="A132" s="196">
        <v>5</v>
      </c>
      <c r="B132" s="151" t="s">
        <v>74</v>
      </c>
      <c r="C132" s="206">
        <v>73.305925925925919</v>
      </c>
      <c r="D132" s="152">
        <v>67.5</v>
      </c>
      <c r="E132" s="151"/>
      <c r="F132" s="200">
        <f>ROUND(C132*D132,1)</f>
        <v>4948.2</v>
      </c>
      <c r="G132" s="128"/>
      <c r="H132" s="126"/>
      <c r="I132" s="128"/>
    </row>
    <row r="133" spans="1:10" ht="42" customHeight="1" x14ac:dyDescent="0.25">
      <c r="A133" s="185">
        <v>6</v>
      </c>
      <c r="B133" s="192" t="s">
        <v>75</v>
      </c>
      <c r="C133" s="204">
        <v>89.364751322124221</v>
      </c>
      <c r="D133" s="140">
        <v>67.5</v>
      </c>
      <c r="E133" s="192"/>
      <c r="F133" s="133">
        <f>ROUND(C133*D133,1)</f>
        <v>6032.1</v>
      </c>
      <c r="G133" s="93"/>
      <c r="I133" s="93"/>
    </row>
    <row r="134" spans="1:10" ht="20.25" customHeight="1" x14ac:dyDescent="0.25">
      <c r="A134" s="185"/>
      <c r="B134" s="192" t="s">
        <v>450</v>
      </c>
      <c r="C134" s="192" t="s">
        <v>451</v>
      </c>
      <c r="D134" s="192" t="s">
        <v>451</v>
      </c>
      <c r="E134" s="192" t="s">
        <v>451</v>
      </c>
      <c r="F134" s="150">
        <f>SUM(F132:F133)</f>
        <v>10980.3</v>
      </c>
      <c r="G134" s="93">
        <f>'р.3 2019'!H112</f>
        <v>11200</v>
      </c>
      <c r="H134" s="93">
        <f>G134-F134</f>
        <v>219.70000000000073</v>
      </c>
      <c r="I134" s="93"/>
    </row>
    <row r="135" spans="1:10" ht="10.5" customHeight="1" x14ac:dyDescent="0.25">
      <c r="A135" s="141"/>
      <c r="B135" s="94"/>
      <c r="C135" s="94"/>
      <c r="D135" s="94"/>
      <c r="E135" s="94"/>
      <c r="F135" s="153"/>
      <c r="G135" s="93"/>
      <c r="I135" s="93"/>
    </row>
    <row r="136" spans="1:10" s="126" customFormat="1" ht="30.75" customHeight="1" x14ac:dyDescent="0.25">
      <c r="A136" s="345" t="s">
        <v>71</v>
      </c>
      <c r="B136" s="345"/>
      <c r="C136" s="345"/>
      <c r="D136" s="345"/>
      <c r="E136" s="345"/>
      <c r="F136" s="345"/>
      <c r="G136" s="93"/>
      <c r="H136" s="70"/>
      <c r="I136" s="93"/>
    </row>
    <row r="137" spans="1:10" ht="32.25" customHeight="1" x14ac:dyDescent="0.25">
      <c r="A137" s="192" t="s">
        <v>442</v>
      </c>
      <c r="B137" s="192" t="s">
        <v>183</v>
      </c>
      <c r="C137" s="192" t="s">
        <v>535</v>
      </c>
      <c r="D137" s="192" t="s">
        <v>536</v>
      </c>
      <c r="E137" s="192" t="s">
        <v>537</v>
      </c>
      <c r="F137" s="192" t="s">
        <v>538</v>
      </c>
      <c r="G137" s="128"/>
      <c r="H137" s="126"/>
      <c r="I137" s="128"/>
    </row>
    <row r="138" spans="1:10" ht="13.5" customHeight="1" x14ac:dyDescent="0.25">
      <c r="A138" s="192">
        <v>1</v>
      </c>
      <c r="B138" s="192">
        <v>2</v>
      </c>
      <c r="C138" s="192">
        <v>3</v>
      </c>
      <c r="D138" s="192">
        <v>4</v>
      </c>
      <c r="E138" s="192">
        <v>5</v>
      </c>
      <c r="F138" s="192">
        <v>6</v>
      </c>
      <c r="G138" s="93"/>
      <c r="I138" s="93"/>
    </row>
    <row r="139" spans="1:10" ht="43.5" customHeight="1" x14ac:dyDescent="0.25">
      <c r="A139" s="185">
        <v>7</v>
      </c>
      <c r="B139" s="192" t="s">
        <v>76</v>
      </c>
      <c r="C139" s="205">
        <v>70.979912865035473</v>
      </c>
      <c r="D139" s="140">
        <v>83.8</v>
      </c>
      <c r="E139" s="192"/>
      <c r="F139" s="133">
        <f>ROUND(C139*D139,0)</f>
        <v>5948</v>
      </c>
      <c r="G139" s="93"/>
      <c r="I139" s="93"/>
    </row>
    <row r="140" spans="1:10" ht="43.5" customHeight="1" x14ac:dyDescent="0.25">
      <c r="A140" s="185">
        <v>8</v>
      </c>
      <c r="B140" s="192" t="s">
        <v>77</v>
      </c>
      <c r="C140" s="205">
        <v>96.080811428571423</v>
      </c>
      <c r="D140" s="133">
        <v>83.8</v>
      </c>
      <c r="E140" s="185"/>
      <c r="F140" s="133">
        <f>ROUND(C140*D140,0)</f>
        <v>8052</v>
      </c>
      <c r="G140" s="93"/>
    </row>
    <row r="141" spans="1:10" ht="15" hidden="1" customHeight="1" x14ac:dyDescent="0.25">
      <c r="A141" s="192"/>
      <c r="B141" s="192"/>
      <c r="C141" s="192"/>
      <c r="D141" s="117"/>
      <c r="E141" s="192"/>
      <c r="F141" s="117"/>
      <c r="G141" s="115">
        <f>SUM(F139:F140)</f>
        <v>14000</v>
      </c>
      <c r="H141" s="115">
        <f>'р.3 2019'!D113</f>
        <v>15500</v>
      </c>
      <c r="I141" s="90"/>
    </row>
    <row r="142" spans="1:10" ht="15" hidden="1" customHeight="1" x14ac:dyDescent="0.25">
      <c r="A142" s="192"/>
      <c r="B142" s="192"/>
      <c r="C142" s="192"/>
      <c r="D142" s="117"/>
      <c r="E142" s="192"/>
      <c r="F142" s="117"/>
    </row>
    <row r="143" spans="1:10" s="118" customFormat="1" ht="15" customHeight="1" x14ac:dyDescent="0.25">
      <c r="A143" s="193"/>
      <c r="B143" s="158" t="s">
        <v>450</v>
      </c>
      <c r="C143" s="193" t="s">
        <v>451</v>
      </c>
      <c r="D143" s="193" t="s">
        <v>451</v>
      </c>
      <c r="E143" s="193" t="s">
        <v>451</v>
      </c>
      <c r="F143" s="154">
        <f>SUM(F139:F142)</f>
        <v>14000</v>
      </c>
      <c r="G143" s="70">
        <f>'р.3 2019'!H113</f>
        <v>15500</v>
      </c>
      <c r="H143" s="93">
        <f>F143-G143</f>
        <v>-1500</v>
      </c>
      <c r="I143" s="70"/>
      <c r="J143" s="146"/>
    </row>
    <row r="144" spans="1:10" ht="7.5" customHeight="1" x14ac:dyDescent="0.25">
      <c r="G144" s="118"/>
      <c r="H144" s="118"/>
      <c r="I144" s="118"/>
    </row>
    <row r="145" spans="1:10" ht="15.75" hidden="1" x14ac:dyDescent="0.25">
      <c r="A145" s="308" t="s">
        <v>539</v>
      </c>
      <c r="B145" s="308"/>
      <c r="C145" s="308"/>
      <c r="D145" s="308"/>
      <c r="E145" s="308"/>
      <c r="F145" s="308"/>
    </row>
    <row r="146" spans="1:10" hidden="1" x14ac:dyDescent="0.25"/>
    <row r="147" spans="1:10" ht="35.1" hidden="1" customHeight="1" x14ac:dyDescent="0.25">
      <c r="A147" s="192" t="s">
        <v>442</v>
      </c>
      <c r="B147" s="302" t="s">
        <v>183</v>
      </c>
      <c r="C147" s="302"/>
      <c r="D147" s="192" t="s">
        <v>540</v>
      </c>
      <c r="E147" s="192" t="s">
        <v>541</v>
      </c>
      <c r="F147" s="192" t="s">
        <v>542</v>
      </c>
    </row>
    <row r="148" spans="1:10" ht="15" hidden="1" customHeight="1" x14ac:dyDescent="0.25">
      <c r="A148" s="192">
        <v>1</v>
      </c>
      <c r="B148" s="302">
        <v>2</v>
      </c>
      <c r="C148" s="302"/>
      <c r="D148" s="192">
        <v>3</v>
      </c>
      <c r="E148" s="192">
        <v>4</v>
      </c>
      <c r="F148" s="192">
        <v>5</v>
      </c>
    </row>
    <row r="149" spans="1:10" ht="15" hidden="1" customHeight="1" x14ac:dyDescent="0.25">
      <c r="A149" s="192"/>
      <c r="B149" s="302"/>
      <c r="C149" s="302"/>
      <c r="D149" s="192"/>
      <c r="E149" s="192"/>
      <c r="F149" s="192"/>
    </row>
    <row r="150" spans="1:10" ht="15" hidden="1" customHeight="1" x14ac:dyDescent="0.25">
      <c r="A150" s="192"/>
      <c r="B150" s="302" t="s">
        <v>450</v>
      </c>
      <c r="C150" s="302"/>
      <c r="D150" s="192" t="s">
        <v>451</v>
      </c>
      <c r="E150" s="192" t="s">
        <v>451</v>
      </c>
      <c r="F150" s="192" t="s">
        <v>451</v>
      </c>
    </row>
    <row r="151" spans="1:10" hidden="1" x14ac:dyDescent="0.25"/>
    <row r="152" spans="1:10" ht="13.5" customHeight="1" x14ac:dyDescent="0.25">
      <c r="A152" s="308" t="s">
        <v>543</v>
      </c>
      <c r="B152" s="308"/>
      <c r="C152" s="308"/>
      <c r="D152" s="308"/>
      <c r="E152" s="308"/>
      <c r="F152" s="308"/>
    </row>
    <row r="153" spans="1:10" ht="15.75" x14ac:dyDescent="0.25">
      <c r="A153" s="308" t="s">
        <v>544</v>
      </c>
      <c r="B153" s="308"/>
      <c r="C153" s="308"/>
      <c r="D153" s="308"/>
      <c r="E153" s="308"/>
      <c r="F153" s="308"/>
      <c r="I153" s="70">
        <v>225</v>
      </c>
    </row>
    <row r="154" spans="1:10" ht="9.75" customHeight="1" x14ac:dyDescent="0.25">
      <c r="A154" s="188"/>
      <c r="B154" s="188"/>
      <c r="C154" s="188"/>
      <c r="D154" s="188"/>
      <c r="E154" s="188"/>
      <c r="F154" s="188"/>
    </row>
    <row r="155" spans="1:10" ht="32.25" customHeight="1" x14ac:dyDescent="0.25">
      <c r="A155" s="307" t="s">
        <v>83</v>
      </c>
      <c r="B155" s="307"/>
      <c r="C155" s="307"/>
      <c r="D155" s="307"/>
      <c r="E155" s="307"/>
      <c r="F155" s="307"/>
    </row>
    <row r="156" spans="1:10" ht="15" customHeight="1" x14ac:dyDescent="0.25">
      <c r="A156" s="392" t="s">
        <v>140</v>
      </c>
      <c r="B156" s="392"/>
      <c r="C156" s="392"/>
      <c r="D156" s="392"/>
      <c r="E156" s="392"/>
      <c r="F156" s="392"/>
    </row>
    <row r="157" spans="1:10" ht="30" customHeight="1" x14ac:dyDescent="0.25">
      <c r="A157" s="192" t="s">
        <v>442</v>
      </c>
      <c r="B157" s="302" t="s">
        <v>454</v>
      </c>
      <c r="C157" s="302"/>
      <c r="D157" s="192" t="s">
        <v>545</v>
      </c>
      <c r="E157" s="192" t="s">
        <v>546</v>
      </c>
      <c r="F157" s="192" t="s">
        <v>547</v>
      </c>
      <c r="J157" s="207"/>
    </row>
    <row r="158" spans="1:10" ht="15" customHeight="1" x14ac:dyDescent="0.25">
      <c r="A158" s="192">
        <v>1</v>
      </c>
      <c r="B158" s="302">
        <v>2</v>
      </c>
      <c r="C158" s="302"/>
      <c r="D158" s="192">
        <v>3</v>
      </c>
      <c r="E158" s="192">
        <v>4</v>
      </c>
      <c r="F158" s="192">
        <v>5</v>
      </c>
    </row>
    <row r="159" spans="1:10" s="92" customFormat="1" ht="28.5" customHeight="1" x14ac:dyDescent="0.25">
      <c r="A159" s="185">
        <v>1</v>
      </c>
      <c r="B159" s="320" t="s">
        <v>785</v>
      </c>
      <c r="C159" s="320"/>
      <c r="D159" s="185" t="s">
        <v>39</v>
      </c>
      <c r="E159" s="185">
        <v>1</v>
      </c>
      <c r="F159" s="133">
        <v>202047</v>
      </c>
      <c r="G159" s="70">
        <f>'р.3 2019'!F115</f>
        <v>0</v>
      </c>
      <c r="H159" s="70"/>
      <c r="I159" s="70"/>
    </row>
    <row r="160" spans="1:10" ht="28.5" customHeight="1" x14ac:dyDescent="0.25">
      <c r="A160" s="233">
        <v>2</v>
      </c>
      <c r="B160" s="320" t="s">
        <v>786</v>
      </c>
      <c r="C160" s="320"/>
      <c r="D160" s="232" t="s">
        <v>39</v>
      </c>
      <c r="E160" s="232">
        <v>1</v>
      </c>
      <c r="F160" s="133">
        <v>29953</v>
      </c>
      <c r="G160" s="92">
        <f>'р.3 2019'!K115</f>
        <v>0</v>
      </c>
      <c r="H160" s="119"/>
      <c r="I160" s="92"/>
    </row>
    <row r="161" spans="1:9" s="118" customFormat="1" ht="15" customHeight="1" x14ac:dyDescent="0.25">
      <c r="A161" s="193"/>
      <c r="B161" s="360" t="s">
        <v>450</v>
      </c>
      <c r="C161" s="360"/>
      <c r="D161" s="193" t="s">
        <v>451</v>
      </c>
      <c r="E161" s="193" t="s">
        <v>451</v>
      </c>
      <c r="F161" s="154">
        <f>SUM(F159:F160)</f>
        <v>232000</v>
      </c>
      <c r="G161" s="70">
        <f>'р.3 2019'!E115</f>
        <v>0</v>
      </c>
      <c r="H161" s="119">
        <f>G161-F161</f>
        <v>-232000</v>
      </c>
      <c r="I161" s="70"/>
    </row>
    <row r="162" spans="1:9" ht="10.5" customHeight="1" x14ac:dyDescent="0.25">
      <c r="G162" s="118"/>
      <c r="H162" s="119"/>
      <c r="I162" s="118"/>
    </row>
    <row r="163" spans="1:9" ht="29.25" customHeight="1" x14ac:dyDescent="0.25">
      <c r="A163" s="307" t="s">
        <v>803</v>
      </c>
      <c r="B163" s="307"/>
      <c r="C163" s="307"/>
      <c r="D163" s="307"/>
      <c r="E163" s="307"/>
      <c r="F163" s="307"/>
    </row>
    <row r="164" spans="1:9" x14ac:dyDescent="0.25">
      <c r="A164" s="392" t="s">
        <v>140</v>
      </c>
      <c r="B164" s="392"/>
      <c r="C164" s="392"/>
      <c r="D164" s="392"/>
      <c r="E164" s="392"/>
      <c r="F164" s="392"/>
    </row>
    <row r="165" spans="1:9" ht="31.5" customHeight="1" x14ac:dyDescent="0.25">
      <c r="A165" s="192" t="s">
        <v>442</v>
      </c>
      <c r="B165" s="302" t="s">
        <v>454</v>
      </c>
      <c r="C165" s="302"/>
      <c r="D165" s="192" t="s">
        <v>545</v>
      </c>
      <c r="E165" s="192" t="s">
        <v>546</v>
      </c>
      <c r="F165" s="192" t="s">
        <v>547</v>
      </c>
    </row>
    <row r="166" spans="1:9" x14ac:dyDescent="0.25">
      <c r="A166" s="192">
        <v>1</v>
      </c>
      <c r="B166" s="302">
        <v>2</v>
      </c>
      <c r="C166" s="302"/>
      <c r="D166" s="192">
        <v>3</v>
      </c>
      <c r="E166" s="192">
        <v>4</v>
      </c>
      <c r="F166" s="192">
        <v>5</v>
      </c>
    </row>
    <row r="167" spans="1:9" ht="29.25" customHeight="1" x14ac:dyDescent="0.25">
      <c r="A167" s="364" t="s">
        <v>139</v>
      </c>
      <c r="B167" s="365"/>
      <c r="C167" s="365"/>
      <c r="D167" s="365"/>
      <c r="E167" s="365"/>
      <c r="F167" s="366"/>
    </row>
    <row r="168" spans="1:9" ht="30" customHeight="1" x14ac:dyDescent="0.25">
      <c r="A168" s="185">
        <v>1</v>
      </c>
      <c r="B168" s="320" t="s">
        <v>38</v>
      </c>
      <c r="C168" s="320"/>
      <c r="D168" s="185" t="s">
        <v>39</v>
      </c>
      <c r="E168" s="185">
        <v>1</v>
      </c>
      <c r="F168" s="133">
        <f>96500-20000</f>
        <v>76500</v>
      </c>
    </row>
    <row r="169" spans="1:9" x14ac:dyDescent="0.25">
      <c r="A169" s="193"/>
      <c r="B169" s="360" t="s">
        <v>450</v>
      </c>
      <c r="C169" s="360"/>
      <c r="D169" s="193" t="s">
        <v>451</v>
      </c>
      <c r="E169" s="193" t="s">
        <v>451</v>
      </c>
      <c r="F169" s="154">
        <f>SUM(F168:F168)</f>
        <v>76500</v>
      </c>
      <c r="G169" s="70">
        <f>'р.3 2019'!F116</f>
        <v>267205</v>
      </c>
      <c r="H169" s="93">
        <f>G169-F169</f>
        <v>190705</v>
      </c>
    </row>
    <row r="170" spans="1:9" ht="30" customHeight="1" x14ac:dyDescent="0.25">
      <c r="A170" s="364" t="s">
        <v>804</v>
      </c>
      <c r="B170" s="365"/>
      <c r="C170" s="365"/>
      <c r="D170" s="365"/>
      <c r="E170" s="365"/>
      <c r="F170" s="366"/>
      <c r="H170" s="93"/>
    </row>
    <row r="171" spans="1:9" ht="30" x14ac:dyDescent="0.25">
      <c r="A171" s="235">
        <v>1</v>
      </c>
      <c r="B171" s="320" t="s">
        <v>38</v>
      </c>
      <c r="C171" s="320"/>
      <c r="D171" s="235" t="s">
        <v>39</v>
      </c>
      <c r="E171" s="235">
        <v>1</v>
      </c>
      <c r="F171" s="133">
        <v>20000</v>
      </c>
      <c r="H171" s="93"/>
    </row>
    <row r="172" spans="1:9" x14ac:dyDescent="0.25">
      <c r="A172" s="239"/>
      <c r="B172" s="360" t="s">
        <v>450</v>
      </c>
      <c r="C172" s="360"/>
      <c r="D172" s="239" t="s">
        <v>451</v>
      </c>
      <c r="E172" s="239" t="s">
        <v>451</v>
      </c>
      <c r="F172" s="154">
        <f>SUM(F171:F171)</f>
        <v>20000</v>
      </c>
      <c r="G172" s="70">
        <f>'р.3 2019'!K116</f>
        <v>0</v>
      </c>
      <c r="H172" s="93">
        <f>F172-G172</f>
        <v>20000</v>
      </c>
    </row>
    <row r="173" spans="1:9" x14ac:dyDescent="0.25">
      <c r="A173" s="239"/>
      <c r="B173" s="360" t="s">
        <v>772</v>
      </c>
      <c r="C173" s="360"/>
      <c r="D173" s="239" t="s">
        <v>451</v>
      </c>
      <c r="E173" s="239" t="s">
        <v>451</v>
      </c>
      <c r="F173" s="154">
        <f>F172+F169</f>
        <v>96500</v>
      </c>
      <c r="G173" s="70">
        <f>'р.3 2019'!D116</f>
        <v>355005</v>
      </c>
      <c r="H173" s="93">
        <f>F173-G173</f>
        <v>-258505</v>
      </c>
    </row>
    <row r="174" spans="1:9" x14ac:dyDescent="0.25">
      <c r="A174" s="120"/>
      <c r="B174" s="121"/>
      <c r="C174" s="121"/>
      <c r="D174" s="120"/>
      <c r="E174" s="120"/>
      <c r="F174" s="122"/>
      <c r="H174" s="93"/>
    </row>
    <row r="175" spans="1:9" s="126" customFormat="1" ht="30.75" customHeight="1" x14ac:dyDescent="0.25">
      <c r="A175" s="307" t="s">
        <v>35</v>
      </c>
      <c r="B175" s="307"/>
      <c r="C175" s="307"/>
      <c r="D175" s="307"/>
      <c r="E175" s="307"/>
      <c r="F175" s="307"/>
      <c r="G175" s="70"/>
      <c r="H175" s="70"/>
      <c r="I175" s="70"/>
    </row>
    <row r="176" spans="1:9" s="126" customFormat="1" ht="6" customHeight="1" x14ac:dyDescent="0.25">
      <c r="A176" s="70"/>
      <c r="B176" s="70"/>
      <c r="C176" s="70"/>
      <c r="D176" s="70"/>
      <c r="E176" s="70"/>
      <c r="F176" s="70"/>
    </row>
    <row r="177" spans="1:9" s="126" customFormat="1" ht="32.25" customHeight="1" x14ac:dyDescent="0.25">
      <c r="A177" s="192" t="s">
        <v>442</v>
      </c>
      <c r="B177" s="302" t="s">
        <v>454</v>
      </c>
      <c r="C177" s="302"/>
      <c r="D177" s="192" t="s">
        <v>545</v>
      </c>
      <c r="E177" s="192" t="s">
        <v>546</v>
      </c>
      <c r="F177" s="192" t="s">
        <v>547</v>
      </c>
    </row>
    <row r="178" spans="1:9" s="126" customFormat="1" x14ac:dyDescent="0.25">
      <c r="A178" s="192">
        <v>1</v>
      </c>
      <c r="B178" s="302">
        <v>2</v>
      </c>
      <c r="C178" s="302"/>
      <c r="D178" s="192">
        <v>3</v>
      </c>
      <c r="E178" s="192">
        <v>4</v>
      </c>
      <c r="F178" s="192">
        <v>5</v>
      </c>
    </row>
    <row r="179" spans="1:9" s="126" customFormat="1" ht="29.25" customHeight="1" x14ac:dyDescent="0.25">
      <c r="A179" s="364" t="s">
        <v>139</v>
      </c>
      <c r="B179" s="365"/>
      <c r="C179" s="365"/>
      <c r="D179" s="365"/>
      <c r="E179" s="365"/>
      <c r="F179" s="366"/>
    </row>
    <row r="180" spans="1:9" s="126" customFormat="1" ht="29.25" customHeight="1" x14ac:dyDescent="0.25">
      <c r="A180" s="192">
        <v>1</v>
      </c>
      <c r="B180" s="370" t="s">
        <v>736</v>
      </c>
      <c r="C180" s="371"/>
      <c r="D180" s="334" t="s">
        <v>36</v>
      </c>
      <c r="E180" s="185">
        <v>2</v>
      </c>
      <c r="F180" s="140">
        <v>13352.46</v>
      </c>
    </row>
    <row r="181" spans="1:9" s="127" customFormat="1" ht="45.75" customHeight="1" x14ac:dyDescent="0.25">
      <c r="A181" s="147">
        <v>2</v>
      </c>
      <c r="B181" s="370" t="s">
        <v>733</v>
      </c>
      <c r="C181" s="371"/>
      <c r="D181" s="369"/>
      <c r="E181" s="185">
        <v>12</v>
      </c>
      <c r="F181" s="133">
        <f>ROUND((3896.85+1513.33)*12,2)</f>
        <v>64922.16</v>
      </c>
      <c r="G181" s="126"/>
      <c r="H181" s="126"/>
      <c r="I181" s="126"/>
    </row>
    <row r="182" spans="1:9" s="127" customFormat="1" ht="46.5" customHeight="1" x14ac:dyDescent="0.4">
      <c r="A182" s="171">
        <v>3</v>
      </c>
      <c r="B182" s="375" t="s">
        <v>734</v>
      </c>
      <c r="C182" s="376"/>
      <c r="D182" s="369"/>
      <c r="E182" s="195">
        <v>12</v>
      </c>
      <c r="F182" s="199">
        <f>ROUND((80.85+115.5)*12,2)</f>
        <v>2356.1999999999998</v>
      </c>
      <c r="G182" s="132"/>
    </row>
    <row r="183" spans="1:9" s="127" customFormat="1" ht="45" customHeight="1" x14ac:dyDescent="0.25">
      <c r="A183" s="171">
        <v>5</v>
      </c>
      <c r="B183" s="375" t="s">
        <v>735</v>
      </c>
      <c r="C183" s="376"/>
      <c r="D183" s="322"/>
      <c r="E183" s="195">
        <v>12</v>
      </c>
      <c r="F183" s="199">
        <f>ROUND((25.49+94.5)*12,2)</f>
        <v>1439.88</v>
      </c>
    </row>
    <row r="184" spans="1:9" s="173" customFormat="1" ht="18" customHeight="1" x14ac:dyDescent="0.25">
      <c r="A184" s="193"/>
      <c r="B184" s="360" t="s">
        <v>450</v>
      </c>
      <c r="C184" s="360"/>
      <c r="D184" s="193" t="s">
        <v>451</v>
      </c>
      <c r="E184" s="193" t="s">
        <v>451</v>
      </c>
      <c r="F184" s="150">
        <f>SUM(F180:F183)</f>
        <v>82070.7</v>
      </c>
      <c r="G184" s="176">
        <f>'р.3 2019'!H117</f>
        <v>96600</v>
      </c>
      <c r="H184" s="174">
        <f>F184-G184</f>
        <v>-14529.300000000003</v>
      </c>
      <c r="I184" s="127"/>
    </row>
    <row r="185" spans="1:9" s="127" customFormat="1" ht="18" hidden="1" customHeight="1" x14ac:dyDescent="0.25">
      <c r="A185" s="364" t="s">
        <v>140</v>
      </c>
      <c r="B185" s="365"/>
      <c r="C185" s="365"/>
      <c r="D185" s="365"/>
      <c r="E185" s="365"/>
      <c r="F185" s="366"/>
      <c r="I185" s="173"/>
    </row>
    <row r="186" spans="1:9" s="127" customFormat="1" ht="33" hidden="1" customHeight="1" x14ac:dyDescent="0.25">
      <c r="A186" s="147">
        <v>3</v>
      </c>
      <c r="B186" s="396" t="s">
        <v>41</v>
      </c>
      <c r="C186" s="396"/>
      <c r="D186" s="397" t="s">
        <v>36</v>
      </c>
      <c r="E186" s="185">
        <v>1</v>
      </c>
      <c r="F186" s="185"/>
      <c r="G186" s="177"/>
    </row>
    <row r="187" spans="1:9" s="175" customFormat="1" ht="78" hidden="1" customHeight="1" x14ac:dyDescent="0.25">
      <c r="A187" s="196">
        <v>4</v>
      </c>
      <c r="B187" s="393" t="s">
        <v>42</v>
      </c>
      <c r="C187" s="394"/>
      <c r="D187" s="398"/>
      <c r="E187" s="196">
        <v>12</v>
      </c>
      <c r="F187" s="200"/>
      <c r="G187" s="177"/>
      <c r="H187" s="127"/>
      <c r="I187" s="127"/>
    </row>
    <row r="188" spans="1:9" s="127" customFormat="1" ht="18" hidden="1" customHeight="1" x14ac:dyDescent="0.25">
      <c r="A188" s="193"/>
      <c r="B188" s="360" t="s">
        <v>450</v>
      </c>
      <c r="C188" s="360"/>
      <c r="D188" s="193" t="s">
        <v>451</v>
      </c>
      <c r="E188" s="193" t="s">
        <v>451</v>
      </c>
      <c r="F188" s="150">
        <f>SUM(F186:F187)</f>
        <v>0</v>
      </c>
      <c r="G188" s="178"/>
      <c r="H188" s="175"/>
      <c r="I188" s="175"/>
    </row>
    <row r="189" spans="1:9" s="126" customFormat="1" hidden="1" x14ac:dyDescent="0.25">
      <c r="A189" s="193"/>
      <c r="B189" s="360" t="s">
        <v>141</v>
      </c>
      <c r="C189" s="360"/>
      <c r="D189" s="193" t="s">
        <v>451</v>
      </c>
      <c r="E189" s="193" t="s">
        <v>451</v>
      </c>
      <c r="F189" s="154">
        <f>F188+F184</f>
        <v>82070.7</v>
      </c>
      <c r="G189" s="177">
        <f>'р.3 2019'!F117</f>
        <v>0</v>
      </c>
      <c r="H189" s="172">
        <f>G189-F188</f>
        <v>0</v>
      </c>
      <c r="I189" s="127"/>
    </row>
    <row r="190" spans="1:9" s="126" customFormat="1" x14ac:dyDescent="0.25">
      <c r="A190" s="123"/>
      <c r="B190" s="124"/>
      <c r="C190" s="124"/>
      <c r="D190" s="123"/>
      <c r="E190" s="123"/>
      <c r="F190" s="125"/>
      <c r="G190" s="179"/>
      <c r="H190" s="128"/>
    </row>
    <row r="191" spans="1:9" s="126" customFormat="1" ht="21" customHeight="1" x14ac:dyDescent="0.25">
      <c r="A191" s="307" t="s">
        <v>37</v>
      </c>
      <c r="B191" s="307"/>
      <c r="C191" s="307"/>
      <c r="D191" s="307"/>
      <c r="E191" s="307"/>
      <c r="F191" s="307"/>
    </row>
    <row r="192" spans="1:9" s="126" customFormat="1" ht="3.75" customHeight="1" x14ac:dyDescent="0.25">
      <c r="A192" s="70"/>
      <c r="B192" s="70"/>
      <c r="C192" s="70"/>
      <c r="D192" s="70"/>
      <c r="E192" s="70"/>
      <c r="F192" s="70"/>
    </row>
    <row r="193" spans="1:11" s="126" customFormat="1" ht="30" customHeight="1" x14ac:dyDescent="0.25">
      <c r="A193" s="192" t="s">
        <v>442</v>
      </c>
      <c r="B193" s="302" t="s">
        <v>454</v>
      </c>
      <c r="C193" s="302"/>
      <c r="D193" s="192" t="s">
        <v>545</v>
      </c>
      <c r="E193" s="192" t="s">
        <v>546</v>
      </c>
      <c r="F193" s="192" t="s">
        <v>547</v>
      </c>
    </row>
    <row r="194" spans="1:11" s="126" customFormat="1" x14ac:dyDescent="0.25">
      <c r="A194" s="192">
        <v>1</v>
      </c>
      <c r="B194" s="302">
        <v>2</v>
      </c>
      <c r="C194" s="302"/>
      <c r="D194" s="192">
        <v>3</v>
      </c>
      <c r="E194" s="192">
        <v>4</v>
      </c>
      <c r="F194" s="192">
        <v>5</v>
      </c>
    </row>
    <row r="195" spans="1:11" s="129" customFormat="1" ht="57" customHeight="1" x14ac:dyDescent="0.25">
      <c r="A195" s="185">
        <v>1</v>
      </c>
      <c r="B195" s="367" t="s">
        <v>738</v>
      </c>
      <c r="C195" s="368"/>
      <c r="D195" s="334" t="s">
        <v>36</v>
      </c>
      <c r="E195" s="185">
        <v>12</v>
      </c>
      <c r="F195" s="133">
        <f>ROUND(2031.69*12,2)-34.32</f>
        <v>24345.96</v>
      </c>
      <c r="G195" s="126"/>
      <c r="H195" s="126"/>
      <c r="I195" s="126"/>
      <c r="K195" s="131"/>
    </row>
    <row r="196" spans="1:11" s="126" customFormat="1" ht="63" hidden="1" customHeight="1" x14ac:dyDescent="0.25">
      <c r="A196" s="185">
        <v>2</v>
      </c>
      <c r="B196" s="370" t="s">
        <v>739</v>
      </c>
      <c r="C196" s="371"/>
      <c r="D196" s="369"/>
      <c r="E196" s="185">
        <v>12</v>
      </c>
      <c r="F196" s="133"/>
      <c r="G196" s="129"/>
      <c r="I196" s="129"/>
    </row>
    <row r="197" spans="1:11" s="126" customFormat="1" ht="30.75" customHeight="1" x14ac:dyDescent="0.3">
      <c r="A197" s="185">
        <v>3</v>
      </c>
      <c r="B197" s="370" t="s">
        <v>740</v>
      </c>
      <c r="C197" s="371"/>
      <c r="D197" s="369"/>
      <c r="E197" s="185">
        <v>12</v>
      </c>
      <c r="F197" s="133">
        <f>ROUND((1939+218)*12,2)</f>
        <v>25884</v>
      </c>
      <c r="G197" s="129"/>
      <c r="H197" s="208" t="s">
        <v>742</v>
      </c>
      <c r="I197" s="129"/>
    </row>
    <row r="198" spans="1:11" s="126" customFormat="1" ht="30.75" customHeight="1" x14ac:dyDescent="0.25">
      <c r="A198" s="185">
        <v>4</v>
      </c>
      <c r="B198" s="370" t="s">
        <v>741</v>
      </c>
      <c r="C198" s="371"/>
      <c r="D198" s="369"/>
      <c r="E198" s="185">
        <v>5</v>
      </c>
      <c r="F198" s="133">
        <f>ROUND(3514.17*12,2)-37159.67</f>
        <v>5010.3700000000026</v>
      </c>
      <c r="G198" s="129"/>
      <c r="H198" s="129"/>
      <c r="I198" s="129"/>
    </row>
    <row r="199" spans="1:11" s="126" customFormat="1" ht="17.25" hidden="1" customHeight="1" x14ac:dyDescent="0.25">
      <c r="A199" s="185">
        <v>5</v>
      </c>
      <c r="B199" s="367" t="s">
        <v>132</v>
      </c>
      <c r="C199" s="368"/>
      <c r="D199" s="369"/>
      <c r="E199" s="185">
        <v>2</v>
      </c>
      <c r="F199" s="133"/>
    </row>
    <row r="200" spans="1:11" s="129" customFormat="1" ht="16.5" hidden="1" customHeight="1" x14ac:dyDescent="0.25">
      <c r="A200" s="185">
        <v>6</v>
      </c>
      <c r="B200" s="367" t="s">
        <v>67</v>
      </c>
      <c r="C200" s="368"/>
      <c r="D200" s="322"/>
      <c r="E200" s="185">
        <v>20</v>
      </c>
      <c r="F200" s="133"/>
      <c r="I200" s="126"/>
    </row>
    <row r="201" spans="1:11" s="126" customFormat="1" x14ac:dyDescent="0.25">
      <c r="A201" s="193"/>
      <c r="B201" s="360" t="s">
        <v>450</v>
      </c>
      <c r="C201" s="360"/>
      <c r="D201" s="193" t="s">
        <v>451</v>
      </c>
      <c r="E201" s="193" t="s">
        <v>451</v>
      </c>
      <c r="F201" s="154">
        <f>SUM(F195:F200)</f>
        <v>55240.33</v>
      </c>
      <c r="G201" s="126">
        <f>'р.3 2019'!H119</f>
        <v>3000</v>
      </c>
      <c r="H201" s="128">
        <f>F201-G201</f>
        <v>52240.33</v>
      </c>
      <c r="I201" s="129"/>
    </row>
    <row r="202" spans="1:11" s="126" customFormat="1" ht="7.5" customHeight="1" x14ac:dyDescent="0.25">
      <c r="A202" s="123"/>
      <c r="B202" s="124"/>
      <c r="C202" s="124"/>
      <c r="D202" s="123"/>
      <c r="E202" s="123"/>
      <c r="F202" s="125"/>
    </row>
    <row r="203" spans="1:11" ht="20.25" customHeight="1" x14ac:dyDescent="0.25">
      <c r="A203" s="307" t="s">
        <v>52</v>
      </c>
      <c r="B203" s="307"/>
      <c r="C203" s="307"/>
      <c r="D203" s="307"/>
      <c r="E203" s="307"/>
      <c r="F203" s="307"/>
      <c r="I203" s="126"/>
    </row>
    <row r="204" spans="1:11" ht="9" customHeight="1" x14ac:dyDescent="0.25"/>
    <row r="205" spans="1:11" ht="31.5" customHeight="1" x14ac:dyDescent="0.25">
      <c r="A205" s="192" t="s">
        <v>442</v>
      </c>
      <c r="B205" s="302" t="s">
        <v>454</v>
      </c>
      <c r="C205" s="302"/>
      <c r="D205" s="192" t="s">
        <v>545</v>
      </c>
      <c r="E205" s="192" t="s">
        <v>546</v>
      </c>
      <c r="F205" s="192" t="s">
        <v>547</v>
      </c>
      <c r="I205" s="70">
        <v>226</v>
      </c>
    </row>
    <row r="206" spans="1:11" ht="15" customHeight="1" x14ac:dyDescent="0.25">
      <c r="A206" s="192">
        <v>1</v>
      </c>
      <c r="B206" s="302">
        <v>2</v>
      </c>
      <c r="C206" s="302"/>
      <c r="D206" s="192">
        <v>3</v>
      </c>
      <c r="E206" s="192">
        <v>4</v>
      </c>
      <c r="F206" s="192">
        <v>5</v>
      </c>
    </row>
    <row r="207" spans="1:11" ht="75.75" customHeight="1" x14ac:dyDescent="0.25">
      <c r="A207" s="185">
        <v>1</v>
      </c>
      <c r="B207" s="372" t="s">
        <v>802</v>
      </c>
      <c r="C207" s="373"/>
      <c r="D207" s="155" t="s">
        <v>36</v>
      </c>
      <c r="E207" s="185">
        <v>12</v>
      </c>
      <c r="F207" s="133">
        <f>2175*12-126</f>
        <v>25974</v>
      </c>
    </row>
    <row r="208" spans="1:11" ht="74.25" hidden="1" customHeight="1" x14ac:dyDescent="0.25">
      <c r="A208" s="147">
        <v>2</v>
      </c>
      <c r="B208" s="372" t="s">
        <v>45</v>
      </c>
      <c r="C208" s="373"/>
      <c r="D208" s="195" t="s">
        <v>44</v>
      </c>
      <c r="E208" s="185">
        <v>12</v>
      </c>
      <c r="F208" s="133"/>
    </row>
    <row r="209" spans="1:9" ht="15" customHeight="1" x14ac:dyDescent="0.25">
      <c r="A209" s="193"/>
      <c r="B209" s="360" t="s">
        <v>450</v>
      </c>
      <c r="C209" s="360"/>
      <c r="D209" s="193" t="s">
        <v>451</v>
      </c>
      <c r="E209" s="193" t="s">
        <v>451</v>
      </c>
      <c r="F209" s="154">
        <f>SUM(F207:F208)</f>
        <v>25974</v>
      </c>
      <c r="G209" s="115">
        <f>'р.3 2019'!K119</f>
        <v>44600</v>
      </c>
      <c r="H209" s="93">
        <f>F209-G209</f>
        <v>-18626</v>
      </c>
    </row>
    <row r="210" spans="1:9" ht="12" customHeight="1" x14ac:dyDescent="0.25">
      <c r="A210" s="123"/>
      <c r="B210" s="124"/>
      <c r="C210" s="124"/>
      <c r="D210" s="123"/>
      <c r="E210" s="123"/>
      <c r="F210" s="125"/>
    </row>
    <row r="211" spans="1:9" ht="12" hidden="1" customHeight="1" x14ac:dyDescent="0.25">
      <c r="A211" s="123"/>
      <c r="B211" s="124"/>
      <c r="C211" s="124"/>
      <c r="D211" s="123"/>
      <c r="E211" s="123"/>
      <c r="F211" s="125"/>
    </row>
    <row r="212" spans="1:9" ht="15.75" x14ac:dyDescent="0.25">
      <c r="A212" s="374" t="s">
        <v>548</v>
      </c>
      <c r="B212" s="374"/>
      <c r="C212" s="374"/>
      <c r="D212" s="374"/>
      <c r="E212" s="374"/>
      <c r="F212" s="374"/>
      <c r="I212" s="70">
        <v>310.33999999999997</v>
      </c>
    </row>
    <row r="213" spans="1:9" ht="4.5" customHeight="1" x14ac:dyDescent="0.25">
      <c r="A213" s="194"/>
      <c r="B213" s="194"/>
      <c r="C213" s="194"/>
      <c r="D213" s="194"/>
      <c r="E213" s="194"/>
      <c r="F213" s="194"/>
    </row>
    <row r="214" spans="1:9" ht="60.75" customHeight="1" x14ac:dyDescent="0.25">
      <c r="A214" s="345" t="s">
        <v>46</v>
      </c>
      <c r="B214" s="345"/>
      <c r="C214" s="345"/>
      <c r="D214" s="345"/>
      <c r="E214" s="345"/>
      <c r="F214" s="345"/>
    </row>
    <row r="215" spans="1:9" ht="15" customHeight="1" x14ac:dyDescent="0.25">
      <c r="A215" s="347" t="s">
        <v>50</v>
      </c>
      <c r="B215" s="347"/>
      <c r="C215" s="347"/>
      <c r="D215" s="347"/>
      <c r="E215" s="347"/>
      <c r="F215" s="347"/>
    </row>
    <row r="216" spans="1:9" ht="29.25" customHeight="1" x14ac:dyDescent="0.25">
      <c r="A216" s="192" t="s">
        <v>442</v>
      </c>
      <c r="B216" s="302" t="s">
        <v>454</v>
      </c>
      <c r="C216" s="302"/>
      <c r="D216" s="302"/>
      <c r="E216" s="192" t="s">
        <v>549</v>
      </c>
      <c r="F216" s="192" t="s">
        <v>550</v>
      </c>
    </row>
    <row r="217" spans="1:9" ht="15" customHeight="1" x14ac:dyDescent="0.25">
      <c r="A217" s="192">
        <v>1</v>
      </c>
      <c r="B217" s="302">
        <v>2</v>
      </c>
      <c r="C217" s="302"/>
      <c r="D217" s="302"/>
      <c r="E217" s="192">
        <v>3</v>
      </c>
      <c r="F217" s="192">
        <v>4</v>
      </c>
    </row>
    <row r="218" spans="1:9" ht="15" customHeight="1" x14ac:dyDescent="0.25">
      <c r="A218" s="192">
        <v>1</v>
      </c>
      <c r="B218" s="324" t="s">
        <v>47</v>
      </c>
      <c r="C218" s="325"/>
      <c r="D218" s="326"/>
      <c r="E218" s="192">
        <v>1</v>
      </c>
      <c r="F218" s="117">
        <v>5500</v>
      </c>
    </row>
    <row r="219" spans="1:9" s="118" customFormat="1" ht="15" customHeight="1" x14ac:dyDescent="0.25">
      <c r="A219" s="193"/>
      <c r="B219" s="360" t="s">
        <v>450</v>
      </c>
      <c r="C219" s="360"/>
      <c r="D219" s="360"/>
      <c r="E219" s="193" t="s">
        <v>451</v>
      </c>
      <c r="F219" s="154">
        <f>SUM(F218)</f>
        <v>5500</v>
      </c>
      <c r="G219" s="118">
        <f>'р.3 2019'!D121</f>
        <v>0</v>
      </c>
      <c r="H219" s="146">
        <f>G219-F219</f>
        <v>-5500</v>
      </c>
      <c r="I219" s="70"/>
    </row>
    <row r="220" spans="1:9" ht="6.75" customHeight="1" x14ac:dyDescent="0.25">
      <c r="I220" s="118"/>
    </row>
    <row r="221" spans="1:9" ht="29.25" customHeight="1" x14ac:dyDescent="0.25">
      <c r="A221" s="345" t="s">
        <v>48</v>
      </c>
      <c r="B221" s="345"/>
      <c r="C221" s="345"/>
      <c r="D221" s="345"/>
      <c r="E221" s="345"/>
      <c r="F221" s="345"/>
    </row>
    <row r="222" spans="1:9" ht="13.5" customHeight="1" x14ac:dyDescent="0.25">
      <c r="A222" s="347" t="s">
        <v>801</v>
      </c>
      <c r="B222" s="347"/>
      <c r="C222" s="347"/>
      <c r="D222" s="347"/>
      <c r="E222" s="347"/>
      <c r="F222" s="347"/>
    </row>
    <row r="223" spans="1:9" ht="28.5" customHeight="1" x14ac:dyDescent="0.25">
      <c r="A223" s="192" t="s">
        <v>442</v>
      </c>
      <c r="B223" s="302" t="s">
        <v>454</v>
      </c>
      <c r="C223" s="302"/>
      <c r="D223" s="302"/>
      <c r="E223" s="192" t="s">
        <v>549</v>
      </c>
      <c r="F223" s="192" t="s">
        <v>550</v>
      </c>
    </row>
    <row r="224" spans="1:9" ht="19.5" customHeight="1" x14ac:dyDescent="0.25">
      <c r="A224" s="192">
        <v>1</v>
      </c>
      <c r="B224" s="302">
        <v>2</v>
      </c>
      <c r="C224" s="302"/>
      <c r="D224" s="302"/>
      <c r="E224" s="192">
        <v>3</v>
      </c>
      <c r="F224" s="192">
        <v>4</v>
      </c>
    </row>
    <row r="225" spans="1:10" ht="30" hidden="1" customHeight="1" x14ac:dyDescent="0.25">
      <c r="A225" s="364" t="s">
        <v>139</v>
      </c>
      <c r="B225" s="365"/>
      <c r="C225" s="365"/>
      <c r="D225" s="365"/>
      <c r="E225" s="365"/>
      <c r="F225" s="366"/>
    </row>
    <row r="226" spans="1:10" ht="30" hidden="1" customHeight="1" x14ac:dyDescent="0.25">
      <c r="A226" s="248">
        <v>1</v>
      </c>
      <c r="B226" s="324" t="s">
        <v>49</v>
      </c>
      <c r="C226" s="325"/>
      <c r="D226" s="326"/>
      <c r="E226" s="248">
        <v>1</v>
      </c>
      <c r="F226" s="117"/>
    </row>
    <row r="227" spans="1:10" ht="15" hidden="1" customHeight="1" x14ac:dyDescent="0.25">
      <c r="A227" s="192">
        <v>2</v>
      </c>
      <c r="B227" s="324" t="s">
        <v>807</v>
      </c>
      <c r="C227" s="325"/>
      <c r="D227" s="326"/>
      <c r="E227" s="192">
        <v>1</v>
      </c>
      <c r="F227" s="117"/>
      <c r="G227" s="70">
        <f>'р.3 2019'!H123</f>
        <v>0</v>
      </c>
      <c r="H227" s="93">
        <f>F226+F227-G227</f>
        <v>0</v>
      </c>
    </row>
    <row r="228" spans="1:10" ht="18.75" hidden="1" customHeight="1" x14ac:dyDescent="0.25">
      <c r="A228" s="364" t="s">
        <v>140</v>
      </c>
      <c r="B228" s="365"/>
      <c r="C228" s="365"/>
      <c r="D228" s="365"/>
      <c r="E228" s="365"/>
      <c r="F228" s="366"/>
    </row>
    <row r="229" spans="1:10" ht="31.5" hidden="1" customHeight="1" x14ac:dyDescent="0.25">
      <c r="A229" s="192"/>
      <c r="B229" s="324" t="s">
        <v>49</v>
      </c>
      <c r="C229" s="325"/>
      <c r="D229" s="326"/>
      <c r="E229" s="192">
        <v>1</v>
      </c>
      <c r="F229" s="117"/>
      <c r="G229" s="70">
        <f>'р.3 2019'!F123</f>
        <v>285585.8</v>
      </c>
      <c r="H229" s="93">
        <f>F229-G229</f>
        <v>-285585.8</v>
      </c>
    </row>
    <row r="230" spans="1:10" ht="18" hidden="1" customHeight="1" x14ac:dyDescent="0.25">
      <c r="A230" s="193"/>
      <c r="B230" s="360" t="s">
        <v>450</v>
      </c>
      <c r="C230" s="360"/>
      <c r="D230" s="360"/>
      <c r="E230" s="193" t="s">
        <v>451</v>
      </c>
      <c r="F230" s="154">
        <f>F229+F227</f>
        <v>0</v>
      </c>
      <c r="G230" s="118">
        <f>'р.3 2019'!F123+'р.3 2019'!H123</f>
        <v>285585.8</v>
      </c>
      <c r="H230" s="146">
        <f>F230-G230</f>
        <v>-285585.8</v>
      </c>
    </row>
    <row r="231" spans="1:10" ht="14.25" customHeight="1" x14ac:dyDescent="0.25">
      <c r="A231" s="347" t="s">
        <v>51</v>
      </c>
      <c r="B231" s="347"/>
      <c r="C231" s="347"/>
      <c r="D231" s="347"/>
      <c r="E231" s="347"/>
      <c r="F231" s="347"/>
    </row>
    <row r="232" spans="1:10" ht="28.5" customHeight="1" x14ac:dyDescent="0.25">
      <c r="A232" s="192">
        <v>1</v>
      </c>
      <c r="B232" s="324" t="s">
        <v>49</v>
      </c>
      <c r="C232" s="325"/>
      <c r="D232" s="326"/>
      <c r="E232" s="192">
        <v>1</v>
      </c>
      <c r="F232" s="117">
        <f>CEILING(11.24*11601.24,100)-29953-45974-8200</f>
        <v>46273</v>
      </c>
      <c r="J232" s="70">
        <f>G233/11601.24</f>
        <v>40.883560722819283</v>
      </c>
    </row>
    <row r="233" spans="1:10" s="118" customFormat="1" x14ac:dyDescent="0.25">
      <c r="A233" s="193"/>
      <c r="B233" s="360" t="s">
        <v>450</v>
      </c>
      <c r="C233" s="360"/>
      <c r="D233" s="360"/>
      <c r="E233" s="193" t="s">
        <v>451</v>
      </c>
      <c r="F233" s="154">
        <f>SUM(F232)</f>
        <v>46273</v>
      </c>
      <c r="G233" s="118">
        <f>'р.3 2019'!K123</f>
        <v>474300</v>
      </c>
      <c r="H233" s="146">
        <f>F233-G233</f>
        <v>-428027</v>
      </c>
      <c r="I233" s="70"/>
    </row>
    <row r="234" spans="1:10" s="118" customFormat="1" x14ac:dyDescent="0.25">
      <c r="A234" s="193"/>
      <c r="B234" s="360" t="s">
        <v>743</v>
      </c>
      <c r="C234" s="360"/>
      <c r="D234" s="360"/>
      <c r="E234" s="193" t="s">
        <v>451</v>
      </c>
      <c r="F234" s="154">
        <f>F233+F227</f>
        <v>46273</v>
      </c>
      <c r="G234" s="118">
        <f>'р.3 2019'!D123</f>
        <v>759885.8</v>
      </c>
      <c r="H234" s="146">
        <f>F234-G234</f>
        <v>-713612.80000000005</v>
      </c>
      <c r="I234" s="70"/>
    </row>
    <row r="235" spans="1:10" ht="8.25" customHeight="1" x14ac:dyDescent="0.25">
      <c r="I235" s="118"/>
    </row>
    <row r="236" spans="1:10" ht="28.5" customHeight="1" x14ac:dyDescent="0.25">
      <c r="A236" s="345" t="s">
        <v>58</v>
      </c>
      <c r="B236" s="345"/>
      <c r="C236" s="345"/>
      <c r="D236" s="345"/>
      <c r="E236" s="345"/>
      <c r="F236" s="345"/>
    </row>
    <row r="237" spans="1:10" ht="15.75" x14ac:dyDescent="0.25">
      <c r="A237" s="347" t="s">
        <v>53</v>
      </c>
      <c r="B237" s="347"/>
      <c r="C237" s="347"/>
      <c r="D237" s="347"/>
      <c r="E237" s="347"/>
      <c r="F237" s="347"/>
    </row>
    <row r="238" spans="1:10" ht="30" x14ac:dyDescent="0.25">
      <c r="A238" s="192" t="s">
        <v>442</v>
      </c>
      <c r="B238" s="302" t="s">
        <v>454</v>
      </c>
      <c r="C238" s="302"/>
      <c r="D238" s="302"/>
      <c r="E238" s="192" t="s">
        <v>549</v>
      </c>
      <c r="F238" s="192" t="s">
        <v>550</v>
      </c>
    </row>
    <row r="239" spans="1:10" x14ac:dyDescent="0.25">
      <c r="A239" s="192">
        <v>1</v>
      </c>
      <c r="B239" s="302">
        <v>2</v>
      </c>
      <c r="C239" s="302"/>
      <c r="D239" s="302"/>
      <c r="E239" s="192">
        <v>3</v>
      </c>
      <c r="F239" s="192">
        <v>4</v>
      </c>
    </row>
    <row r="240" spans="1:10" x14ac:dyDescent="0.25">
      <c r="A240" s="253">
        <v>1</v>
      </c>
      <c r="B240" s="324" t="s">
        <v>820</v>
      </c>
      <c r="C240" s="325"/>
      <c r="D240" s="326"/>
      <c r="E240" s="253">
        <v>1</v>
      </c>
      <c r="F240" s="257">
        <v>45000</v>
      </c>
    </row>
    <row r="241" spans="1:9" ht="16.5" customHeight="1" x14ac:dyDescent="0.25">
      <c r="A241" s="192">
        <v>2</v>
      </c>
      <c r="B241" s="324" t="s">
        <v>54</v>
      </c>
      <c r="C241" s="325"/>
      <c r="D241" s="326"/>
      <c r="E241" s="192">
        <v>1</v>
      </c>
      <c r="F241" s="257">
        <v>5000</v>
      </c>
    </row>
    <row r="242" spans="1:9" s="118" customFormat="1" x14ac:dyDescent="0.25">
      <c r="A242" s="193"/>
      <c r="B242" s="360" t="s">
        <v>450</v>
      </c>
      <c r="C242" s="360"/>
      <c r="D242" s="360"/>
      <c r="E242" s="193" t="s">
        <v>451</v>
      </c>
      <c r="F242" s="154">
        <f>SUM(F240:F241)</f>
        <v>50000</v>
      </c>
      <c r="G242" s="118">
        <f>'р.3 2019'!D125</f>
        <v>0</v>
      </c>
      <c r="H242" s="118">
        <f>F242-G242</f>
        <v>50000</v>
      </c>
      <c r="I242" s="70"/>
    </row>
    <row r="243" spans="1:9" x14ac:dyDescent="0.25">
      <c r="A243" s="94"/>
      <c r="B243" s="141"/>
      <c r="C243" s="141"/>
      <c r="D243" s="141"/>
      <c r="E243" s="94"/>
      <c r="F243" s="156"/>
      <c r="I243" s="118"/>
    </row>
    <row r="244" spans="1:9" ht="17.25" customHeight="1" x14ac:dyDescent="0.25">
      <c r="A244" s="345" t="s">
        <v>57</v>
      </c>
      <c r="B244" s="345"/>
      <c r="C244" s="345"/>
      <c r="D244" s="345"/>
      <c r="E244" s="345"/>
      <c r="F244" s="345"/>
    </row>
    <row r="245" spans="1:9" ht="15.75" x14ac:dyDescent="0.25">
      <c r="A245" s="347" t="s">
        <v>55</v>
      </c>
      <c r="B245" s="347"/>
      <c r="C245" s="347"/>
      <c r="D245" s="347"/>
      <c r="E245" s="347"/>
      <c r="F245" s="347"/>
    </row>
    <row r="246" spans="1:9" ht="30" x14ac:dyDescent="0.25">
      <c r="A246" s="192" t="s">
        <v>442</v>
      </c>
      <c r="B246" s="302" t="s">
        <v>454</v>
      </c>
      <c r="C246" s="302"/>
      <c r="D246" s="302"/>
      <c r="E246" s="192" t="s">
        <v>549</v>
      </c>
      <c r="F246" s="192" t="s">
        <v>550</v>
      </c>
    </row>
    <row r="247" spans="1:9" x14ac:dyDescent="0.25">
      <c r="A247" s="192">
        <v>1</v>
      </c>
      <c r="B247" s="302">
        <v>2</v>
      </c>
      <c r="C247" s="302"/>
      <c r="D247" s="302"/>
      <c r="E247" s="192">
        <v>3</v>
      </c>
      <c r="F247" s="192">
        <v>4</v>
      </c>
    </row>
    <row r="248" spans="1:9" ht="27.75" customHeight="1" x14ac:dyDescent="0.25">
      <c r="A248" s="192">
        <v>1</v>
      </c>
      <c r="B248" s="324" t="s">
        <v>56</v>
      </c>
      <c r="C248" s="325"/>
      <c r="D248" s="326"/>
      <c r="E248" s="192">
        <v>1</v>
      </c>
      <c r="F248" s="117">
        <f>10600+369.62</f>
        <v>10969.62</v>
      </c>
    </row>
    <row r="249" spans="1:9" s="118" customFormat="1" x14ac:dyDescent="0.25">
      <c r="A249" s="193"/>
      <c r="B249" s="360" t="s">
        <v>450</v>
      </c>
      <c r="C249" s="360"/>
      <c r="D249" s="360"/>
      <c r="E249" s="193" t="s">
        <v>451</v>
      </c>
      <c r="F249" s="154">
        <f>SUM(F248)</f>
        <v>10969.62</v>
      </c>
      <c r="G249" s="118">
        <f>'р.3 2019'!D126</f>
        <v>0</v>
      </c>
      <c r="H249" s="118">
        <f>F249-G249</f>
        <v>10969.62</v>
      </c>
      <c r="I249" s="70"/>
    </row>
    <row r="250" spans="1:9" ht="9" customHeight="1" x14ac:dyDescent="0.25">
      <c r="A250" s="94"/>
      <c r="B250" s="141"/>
      <c r="C250" s="141"/>
      <c r="D250" s="141"/>
      <c r="E250" s="94"/>
      <c r="F250" s="156"/>
      <c r="I250" s="118"/>
    </row>
    <row r="251" spans="1:9" ht="29.25" customHeight="1" x14ac:dyDescent="0.25">
      <c r="A251" s="345" t="s">
        <v>62</v>
      </c>
      <c r="B251" s="345"/>
      <c r="C251" s="345"/>
      <c r="D251" s="345"/>
      <c r="E251" s="345"/>
      <c r="F251" s="345"/>
    </row>
    <row r="252" spans="1:9" ht="30.75" customHeight="1" x14ac:dyDescent="0.25">
      <c r="A252" s="347" t="s">
        <v>745</v>
      </c>
      <c r="B252" s="347"/>
      <c r="C252" s="347"/>
      <c r="D252" s="347"/>
      <c r="E252" s="347"/>
      <c r="F252" s="347"/>
    </row>
    <row r="253" spans="1:9" ht="30" x14ac:dyDescent="0.25">
      <c r="A253" s="192" t="s">
        <v>442</v>
      </c>
      <c r="B253" s="302" t="s">
        <v>454</v>
      </c>
      <c r="C253" s="302"/>
      <c r="D253" s="302"/>
      <c r="E253" s="192" t="s">
        <v>549</v>
      </c>
      <c r="F253" s="192" t="s">
        <v>550</v>
      </c>
    </row>
    <row r="254" spans="1:9" x14ac:dyDescent="0.25">
      <c r="A254" s="192">
        <v>1</v>
      </c>
      <c r="B254" s="302">
        <v>2</v>
      </c>
      <c r="C254" s="302"/>
      <c r="D254" s="302"/>
      <c r="E254" s="192">
        <v>3</v>
      </c>
      <c r="F254" s="192">
        <v>4</v>
      </c>
    </row>
    <row r="255" spans="1:9" x14ac:dyDescent="0.25">
      <c r="A255" s="364" t="s">
        <v>822</v>
      </c>
      <c r="B255" s="365"/>
      <c r="C255" s="365"/>
      <c r="D255" s="365"/>
      <c r="E255" s="365"/>
      <c r="F255" s="366"/>
    </row>
    <row r="256" spans="1:9" x14ac:dyDescent="0.25">
      <c r="A256" s="253">
        <v>1</v>
      </c>
      <c r="B256" s="324" t="s">
        <v>59</v>
      </c>
      <c r="C256" s="325"/>
      <c r="D256" s="326"/>
      <c r="E256" s="253">
        <v>1</v>
      </c>
      <c r="F256" s="117">
        <v>13360</v>
      </c>
      <c r="G256" s="115">
        <f>'р.3 2019'!H128</f>
        <v>0</v>
      </c>
      <c r="H256" s="93">
        <f>F256-G256</f>
        <v>13360</v>
      </c>
    </row>
    <row r="257" spans="1:9" x14ac:dyDescent="0.25">
      <c r="A257" s="364" t="s">
        <v>823</v>
      </c>
      <c r="B257" s="365"/>
      <c r="C257" s="365"/>
      <c r="D257" s="365"/>
      <c r="E257" s="365"/>
      <c r="F257" s="366"/>
      <c r="G257" s="115"/>
    </row>
    <row r="258" spans="1:9" x14ac:dyDescent="0.25">
      <c r="A258" s="192">
        <v>1</v>
      </c>
      <c r="B258" s="324" t="s">
        <v>821</v>
      </c>
      <c r="C258" s="325"/>
      <c r="D258" s="326"/>
      <c r="E258" s="192">
        <v>1</v>
      </c>
      <c r="F258" s="117">
        <v>51630</v>
      </c>
      <c r="G258" s="115">
        <f>'р.3 2019'!F128</f>
        <v>0</v>
      </c>
      <c r="H258" s="70">
        <f>F258-G258</f>
        <v>51630</v>
      </c>
    </row>
    <row r="259" spans="1:9" s="118" customFormat="1" x14ac:dyDescent="0.25">
      <c r="A259" s="193"/>
      <c r="B259" s="360" t="s">
        <v>450</v>
      </c>
      <c r="C259" s="360"/>
      <c r="D259" s="360"/>
      <c r="E259" s="193" t="s">
        <v>451</v>
      </c>
      <c r="F259" s="154">
        <f>F256+F258</f>
        <v>64990</v>
      </c>
      <c r="G259" s="159">
        <f>'р.3 2019'!D128</f>
        <v>0</v>
      </c>
      <c r="H259" s="146">
        <f>F259-G259</f>
        <v>64990</v>
      </c>
      <c r="I259" s="70"/>
    </row>
    <row r="260" spans="1:9" ht="9" customHeight="1" x14ac:dyDescent="0.25">
      <c r="A260" s="94"/>
      <c r="B260" s="141"/>
      <c r="C260" s="141"/>
      <c r="D260" s="141"/>
      <c r="E260" s="94"/>
      <c r="F260" s="156"/>
      <c r="H260" s="93"/>
      <c r="I260" s="118"/>
    </row>
    <row r="261" spans="1:9" ht="15.75" x14ac:dyDescent="0.25">
      <c r="A261" s="345" t="s">
        <v>61</v>
      </c>
      <c r="B261" s="345"/>
      <c r="C261" s="345"/>
      <c r="D261" s="345"/>
      <c r="E261" s="345"/>
      <c r="F261" s="345"/>
      <c r="H261" s="93"/>
    </row>
    <row r="262" spans="1:9" ht="32.25" customHeight="1" x14ac:dyDescent="0.25">
      <c r="A262" s="347" t="s">
        <v>744</v>
      </c>
      <c r="B262" s="347"/>
      <c r="C262" s="347"/>
      <c r="D262" s="347"/>
      <c r="E262" s="347"/>
      <c r="F262" s="347"/>
      <c r="H262" s="93"/>
    </row>
    <row r="263" spans="1:9" ht="30" x14ac:dyDescent="0.25">
      <c r="A263" s="192" t="s">
        <v>442</v>
      </c>
      <c r="B263" s="302" t="s">
        <v>454</v>
      </c>
      <c r="C263" s="302"/>
      <c r="D263" s="302"/>
      <c r="E263" s="192" t="s">
        <v>549</v>
      </c>
      <c r="F263" s="192" t="s">
        <v>550</v>
      </c>
      <c r="H263" s="93"/>
    </row>
    <row r="264" spans="1:9" x14ac:dyDescent="0.25">
      <c r="A264" s="192">
        <v>1</v>
      </c>
      <c r="B264" s="302">
        <v>2</v>
      </c>
      <c r="C264" s="302"/>
      <c r="D264" s="302"/>
      <c r="E264" s="192">
        <v>3</v>
      </c>
      <c r="F264" s="192">
        <v>4</v>
      </c>
      <c r="H264" s="93"/>
    </row>
    <row r="265" spans="1:9" x14ac:dyDescent="0.25">
      <c r="A265" s="192">
        <v>1</v>
      </c>
      <c r="B265" s="324" t="s">
        <v>64</v>
      </c>
      <c r="C265" s="325"/>
      <c r="D265" s="326"/>
      <c r="E265" s="192">
        <v>1</v>
      </c>
      <c r="F265" s="117">
        <v>96494.5</v>
      </c>
      <c r="H265" s="93"/>
    </row>
    <row r="266" spans="1:9" hidden="1" x14ac:dyDescent="0.25">
      <c r="A266" s="192">
        <v>1</v>
      </c>
      <c r="B266" s="324" t="s">
        <v>60</v>
      </c>
      <c r="C266" s="325"/>
      <c r="D266" s="326"/>
      <c r="E266" s="192">
        <v>1</v>
      </c>
      <c r="F266" s="117"/>
      <c r="H266" s="93"/>
    </row>
    <row r="267" spans="1:9" s="118" customFormat="1" x14ac:dyDescent="0.25">
      <c r="A267" s="193"/>
      <c r="B267" s="360" t="s">
        <v>450</v>
      </c>
      <c r="C267" s="360"/>
      <c r="D267" s="360"/>
      <c r="E267" s="193" t="s">
        <v>451</v>
      </c>
      <c r="F267" s="154">
        <f>SUM(F265:F266)</f>
        <v>96494.5</v>
      </c>
      <c r="G267" s="118">
        <f>'р.3 2019'!F129</f>
        <v>0</v>
      </c>
      <c r="H267" s="146">
        <f>F267-G267</f>
        <v>96494.5</v>
      </c>
      <c r="I267" s="70"/>
    </row>
    <row r="268" spans="1:9" ht="9" customHeight="1" x14ac:dyDescent="0.25">
      <c r="A268" s="94"/>
      <c r="B268" s="141"/>
      <c r="C268" s="141"/>
      <c r="D268" s="141"/>
      <c r="E268" s="94"/>
      <c r="F268" s="156"/>
      <c r="H268" s="93"/>
      <c r="I268" s="118"/>
    </row>
    <row r="269" spans="1:9" ht="34.5" customHeight="1" x14ac:dyDescent="0.25">
      <c r="A269" s="345" t="s">
        <v>826</v>
      </c>
      <c r="B269" s="345"/>
      <c r="C269" s="345"/>
      <c r="D269" s="345"/>
      <c r="E269" s="345"/>
      <c r="F269" s="345"/>
      <c r="H269" s="93"/>
    </row>
    <row r="270" spans="1:9" ht="15.75" x14ac:dyDescent="0.25">
      <c r="A270" s="347" t="s">
        <v>825</v>
      </c>
      <c r="B270" s="347"/>
      <c r="C270" s="347"/>
      <c r="D270" s="347"/>
      <c r="E270" s="347"/>
      <c r="F270" s="347"/>
      <c r="H270" s="93"/>
    </row>
    <row r="271" spans="1:9" ht="30" x14ac:dyDescent="0.25">
      <c r="A271" s="192" t="s">
        <v>442</v>
      </c>
      <c r="B271" s="302" t="s">
        <v>454</v>
      </c>
      <c r="C271" s="302"/>
      <c r="D271" s="302"/>
      <c r="E271" s="192" t="s">
        <v>549</v>
      </c>
      <c r="F271" s="192" t="s">
        <v>550</v>
      </c>
      <c r="H271" s="93"/>
    </row>
    <row r="272" spans="1:9" x14ac:dyDescent="0.25">
      <c r="A272" s="192">
        <v>1</v>
      </c>
      <c r="B272" s="302">
        <v>2</v>
      </c>
      <c r="C272" s="302"/>
      <c r="D272" s="302"/>
      <c r="E272" s="192">
        <v>3</v>
      </c>
      <c r="F272" s="192">
        <v>4</v>
      </c>
      <c r="H272" s="93"/>
    </row>
    <row r="273" spans="1:9" x14ac:dyDescent="0.25">
      <c r="A273" s="192">
        <v>1</v>
      </c>
      <c r="B273" s="324" t="s">
        <v>824</v>
      </c>
      <c r="C273" s="325"/>
      <c r="D273" s="326"/>
      <c r="E273" s="192">
        <v>1</v>
      </c>
      <c r="F273" s="117">
        <v>20000</v>
      </c>
      <c r="H273" s="93"/>
    </row>
    <row r="274" spans="1:9" s="118" customFormat="1" x14ac:dyDescent="0.25">
      <c r="A274" s="193"/>
      <c r="B274" s="360" t="s">
        <v>450</v>
      </c>
      <c r="C274" s="360"/>
      <c r="D274" s="360"/>
      <c r="E274" s="193" t="s">
        <v>451</v>
      </c>
      <c r="F274" s="154">
        <f>SUM(F273:F273)</f>
        <v>20000</v>
      </c>
      <c r="G274" s="118">
        <f>'р.3 2019'!H131</f>
        <v>0</v>
      </c>
      <c r="H274" s="146">
        <f>G274-F274</f>
        <v>-20000</v>
      </c>
      <c r="I274" s="70"/>
    </row>
    <row r="275" spans="1:9" ht="8.25" customHeight="1" x14ac:dyDescent="0.25">
      <c r="A275" s="94"/>
      <c r="B275" s="141"/>
      <c r="C275" s="141"/>
      <c r="D275" s="141"/>
      <c r="E275" s="94"/>
      <c r="F275" s="156"/>
      <c r="I275" s="118"/>
    </row>
    <row r="276" spans="1:9" ht="14.25" customHeight="1" x14ac:dyDescent="0.25">
      <c r="A276" s="308" t="s">
        <v>551</v>
      </c>
      <c r="B276" s="308"/>
      <c r="C276" s="308"/>
      <c r="D276" s="308"/>
      <c r="E276" s="308"/>
      <c r="F276" s="308"/>
    </row>
    <row r="277" spans="1:9" ht="11.25" customHeight="1" x14ac:dyDescent="0.25">
      <c r="A277" s="308" t="s">
        <v>552</v>
      </c>
      <c r="B277" s="308"/>
      <c r="C277" s="308"/>
      <c r="D277" s="308"/>
      <c r="E277" s="308"/>
      <c r="F277" s="308"/>
    </row>
    <row r="278" spans="1:9" ht="17.25" customHeight="1" x14ac:dyDescent="0.25">
      <c r="A278" s="347" t="s">
        <v>137</v>
      </c>
      <c r="B278" s="347"/>
      <c r="C278" s="347"/>
      <c r="D278" s="347"/>
      <c r="E278" s="347"/>
      <c r="F278" s="347"/>
    </row>
    <row r="279" spans="1:9" ht="15.75" customHeight="1" x14ac:dyDescent="0.25">
      <c r="A279" s="192" t="s">
        <v>442</v>
      </c>
      <c r="B279" s="302" t="s">
        <v>454</v>
      </c>
      <c r="C279" s="302"/>
      <c r="D279" s="192" t="s">
        <v>540</v>
      </c>
      <c r="E279" s="192" t="s">
        <v>553</v>
      </c>
      <c r="F279" s="192" t="s">
        <v>554</v>
      </c>
    </row>
    <row r="280" spans="1:9" ht="11.25" customHeight="1" x14ac:dyDescent="0.25">
      <c r="A280" s="192" t="s">
        <v>555</v>
      </c>
      <c r="B280" s="302">
        <v>1</v>
      </c>
      <c r="C280" s="302"/>
      <c r="D280" s="192">
        <v>2</v>
      </c>
      <c r="E280" s="192">
        <v>3</v>
      </c>
      <c r="F280" s="192">
        <v>4</v>
      </c>
    </row>
    <row r="281" spans="1:9" ht="15" customHeight="1" x14ac:dyDescent="0.25">
      <c r="A281" s="192">
        <v>1</v>
      </c>
      <c r="B281" s="320" t="s">
        <v>808</v>
      </c>
      <c r="C281" s="320"/>
      <c r="D281" s="192">
        <v>2</v>
      </c>
      <c r="E281" s="117">
        <v>15300</v>
      </c>
      <c r="F281" s="117">
        <f>D281*E281</f>
        <v>30600</v>
      </c>
    </row>
    <row r="282" spans="1:9" ht="11.25" hidden="1" customHeight="1" x14ac:dyDescent="0.25">
      <c r="A282" s="185">
        <v>2</v>
      </c>
      <c r="B282" s="320"/>
      <c r="C282" s="320"/>
      <c r="D282" s="185"/>
      <c r="E282" s="133"/>
      <c r="F282" s="117">
        <f>D282*E282</f>
        <v>0</v>
      </c>
    </row>
    <row r="283" spans="1:9" ht="15" customHeight="1" x14ac:dyDescent="0.25">
      <c r="A283" s="193"/>
      <c r="B283" s="360" t="s">
        <v>450</v>
      </c>
      <c r="C283" s="360"/>
      <c r="D283" s="193"/>
      <c r="E283" s="193" t="s">
        <v>451</v>
      </c>
      <c r="F283" s="154">
        <f>SUM(F281:F282)</f>
        <v>30600</v>
      </c>
      <c r="G283" s="70">
        <f>'р.3 2019'!H133</f>
        <v>0</v>
      </c>
      <c r="H283" s="70">
        <f>F283-G283</f>
        <v>30600</v>
      </c>
    </row>
    <row r="284" spans="1:9" ht="11.25" customHeight="1" x14ac:dyDescent="0.25">
      <c r="A284" s="188"/>
      <c r="B284" s="188"/>
      <c r="C284" s="188"/>
      <c r="D284" s="188"/>
      <c r="E284" s="188"/>
      <c r="F284" s="188"/>
    </row>
    <row r="285" spans="1:9" ht="15.75" customHeight="1" x14ac:dyDescent="0.25">
      <c r="A285" s="347" t="s">
        <v>812</v>
      </c>
      <c r="B285" s="347"/>
      <c r="C285" s="347"/>
      <c r="D285" s="347"/>
      <c r="E285" s="347"/>
      <c r="F285" s="347"/>
    </row>
    <row r="286" spans="1:9" ht="30" x14ac:dyDescent="0.25">
      <c r="A286" s="253" t="s">
        <v>442</v>
      </c>
      <c r="B286" s="302" t="s">
        <v>454</v>
      </c>
      <c r="C286" s="302"/>
      <c r="D286" s="253" t="s">
        <v>540</v>
      </c>
      <c r="E286" s="253" t="s">
        <v>553</v>
      </c>
      <c r="F286" s="253" t="s">
        <v>554</v>
      </c>
    </row>
    <row r="287" spans="1:9" x14ac:dyDescent="0.25">
      <c r="A287" s="253" t="s">
        <v>555</v>
      </c>
      <c r="B287" s="302">
        <v>1</v>
      </c>
      <c r="C287" s="302"/>
      <c r="D287" s="253">
        <v>2</v>
      </c>
      <c r="E287" s="253">
        <v>3</v>
      </c>
      <c r="F287" s="253">
        <v>4</v>
      </c>
    </row>
    <row r="288" spans="1:9" x14ac:dyDescent="0.25">
      <c r="A288" s="378" t="s">
        <v>810</v>
      </c>
      <c r="B288" s="388"/>
      <c r="C288" s="388"/>
      <c r="D288" s="388"/>
      <c r="E288" s="388"/>
      <c r="F288" s="379"/>
    </row>
    <row r="289" spans="1:9" x14ac:dyDescent="0.25">
      <c r="A289" s="253">
        <v>1</v>
      </c>
      <c r="B289" s="320" t="s">
        <v>811</v>
      </c>
      <c r="C289" s="320"/>
      <c r="D289" s="253">
        <v>12</v>
      </c>
      <c r="E289" s="117">
        <v>1564.5883333333334</v>
      </c>
      <c r="F289" s="117">
        <f>D289*E289</f>
        <v>18775.060000000001</v>
      </c>
      <c r="G289" s="115">
        <f>'р.3 2019'!H134</f>
        <v>0</v>
      </c>
      <c r="H289" s="93">
        <f>G289-F289</f>
        <v>-18775.060000000001</v>
      </c>
    </row>
    <row r="290" spans="1:9" x14ac:dyDescent="0.25">
      <c r="A290" s="378" t="s">
        <v>813</v>
      </c>
      <c r="B290" s="388"/>
      <c r="C290" s="388"/>
      <c r="D290" s="388"/>
      <c r="E290" s="388"/>
      <c r="F290" s="379"/>
      <c r="G290" s="115"/>
    </row>
    <row r="291" spans="1:9" s="92" customFormat="1" ht="16.5" customHeight="1" x14ac:dyDescent="0.25">
      <c r="A291" s="253">
        <v>1</v>
      </c>
      <c r="B291" s="320" t="s">
        <v>811</v>
      </c>
      <c r="C291" s="320"/>
      <c r="D291" s="249">
        <v>4</v>
      </c>
      <c r="E291" s="133">
        <v>1570.65</v>
      </c>
      <c r="F291" s="117">
        <f>D291*E291</f>
        <v>6282.6</v>
      </c>
      <c r="G291" s="256">
        <f>'р.3 2019'!F134</f>
        <v>0</v>
      </c>
      <c r="H291" s="92">
        <f>G291-F291</f>
        <v>-6282.6</v>
      </c>
      <c r="I291" s="70"/>
    </row>
    <row r="292" spans="1:9" s="118" customFormat="1" x14ac:dyDescent="0.25">
      <c r="A292" s="254"/>
      <c r="B292" s="360" t="s">
        <v>450</v>
      </c>
      <c r="C292" s="360"/>
      <c r="D292" s="254"/>
      <c r="E292" s="254" t="s">
        <v>451</v>
      </c>
      <c r="F292" s="154">
        <f>SUM(F289:F291)</f>
        <v>25057.660000000003</v>
      </c>
      <c r="G292" s="159">
        <f>'р.3 2019'!D134</f>
        <v>0</v>
      </c>
      <c r="H292" s="118">
        <f>G292-F292</f>
        <v>-25057.660000000003</v>
      </c>
      <c r="I292" s="92"/>
    </row>
    <row r="293" spans="1:9" s="118" customFormat="1" x14ac:dyDescent="0.25">
      <c r="A293" s="123"/>
      <c r="B293" s="124"/>
      <c r="C293" s="124"/>
      <c r="D293" s="123"/>
      <c r="E293" s="123"/>
      <c r="F293" s="125"/>
      <c r="G293" s="159"/>
      <c r="I293" s="92"/>
    </row>
    <row r="294" spans="1:9" s="118" customFormat="1" ht="15.75" customHeight="1" x14ac:dyDescent="0.25">
      <c r="A294" s="347" t="s">
        <v>814</v>
      </c>
      <c r="B294" s="347"/>
      <c r="C294" s="347"/>
      <c r="D294" s="347"/>
      <c r="E294" s="347"/>
      <c r="F294" s="347"/>
      <c r="G294" s="159"/>
      <c r="I294" s="92"/>
    </row>
    <row r="295" spans="1:9" s="118" customFormat="1" ht="30" x14ac:dyDescent="0.25">
      <c r="A295" s="253" t="s">
        <v>442</v>
      </c>
      <c r="B295" s="302" t="s">
        <v>454</v>
      </c>
      <c r="C295" s="302"/>
      <c r="D295" s="253" t="s">
        <v>540</v>
      </c>
      <c r="E295" s="253" t="s">
        <v>553</v>
      </c>
      <c r="F295" s="253" t="s">
        <v>554</v>
      </c>
      <c r="G295" s="159"/>
      <c r="I295" s="92"/>
    </row>
    <row r="296" spans="1:9" s="118" customFormat="1" x14ac:dyDescent="0.25">
      <c r="A296" s="253" t="s">
        <v>555</v>
      </c>
      <c r="B296" s="302">
        <v>1</v>
      </c>
      <c r="C296" s="302"/>
      <c r="D296" s="253">
        <v>2</v>
      </c>
      <c r="E296" s="253">
        <v>3</v>
      </c>
      <c r="F296" s="253">
        <v>4</v>
      </c>
      <c r="G296" s="159"/>
      <c r="I296" s="92"/>
    </row>
    <row r="297" spans="1:9" ht="16.5" customHeight="1" x14ac:dyDescent="0.25">
      <c r="A297" s="253">
        <v>1</v>
      </c>
      <c r="B297" s="320" t="s">
        <v>815</v>
      </c>
      <c r="C297" s="320"/>
      <c r="D297" s="253">
        <v>61</v>
      </c>
      <c r="E297" s="117">
        <v>330.11524590163941</v>
      </c>
      <c r="F297" s="117">
        <f>D297*E297</f>
        <v>20137.030000000002</v>
      </c>
    </row>
    <row r="298" spans="1:9" ht="16.5" customHeight="1" x14ac:dyDescent="0.25">
      <c r="A298" s="253"/>
      <c r="B298" s="360" t="s">
        <v>450</v>
      </c>
      <c r="C298" s="360"/>
      <c r="D298" s="253"/>
      <c r="E298" s="117"/>
      <c r="F298" s="117">
        <f>SUM(F297)</f>
        <v>20137.030000000002</v>
      </c>
      <c r="G298" s="70">
        <f>'р.3 2019'!D136</f>
        <v>0</v>
      </c>
      <c r="H298" s="93">
        <f>G298-F298</f>
        <v>-20137.030000000002</v>
      </c>
    </row>
    <row r="299" spans="1:9" x14ac:dyDescent="0.25">
      <c r="A299" s="123"/>
      <c r="B299" s="124"/>
      <c r="C299" s="124"/>
      <c r="D299" s="123"/>
      <c r="E299" s="123"/>
      <c r="F299" s="125"/>
    </row>
    <row r="300" spans="1:9" s="118" customFormat="1" ht="15.75" hidden="1" x14ac:dyDescent="0.25">
      <c r="A300" s="347" t="s">
        <v>97</v>
      </c>
      <c r="B300" s="347"/>
      <c r="C300" s="347"/>
      <c r="D300" s="347"/>
      <c r="E300" s="347"/>
      <c r="F300" s="347"/>
      <c r="G300" s="118">
        <f>'р.3 2019'!AA139</f>
        <v>0</v>
      </c>
      <c r="H300" s="118">
        <f>F305-G300</f>
        <v>0</v>
      </c>
      <c r="I300" s="92"/>
    </row>
    <row r="301" spans="1:9" ht="30" hidden="1" x14ac:dyDescent="0.25">
      <c r="A301" s="192" t="s">
        <v>442</v>
      </c>
      <c r="B301" s="361" t="s">
        <v>454</v>
      </c>
      <c r="C301" s="362"/>
      <c r="D301" s="192" t="s">
        <v>540</v>
      </c>
      <c r="E301" s="192" t="s">
        <v>553</v>
      </c>
      <c r="F301" s="192" t="s">
        <v>554</v>
      </c>
      <c r="I301" s="118"/>
    </row>
    <row r="302" spans="1:9" ht="15.75" hidden="1" customHeight="1" x14ac:dyDescent="0.25">
      <c r="A302" s="192" t="s">
        <v>555</v>
      </c>
      <c r="B302" s="361">
        <v>1</v>
      </c>
      <c r="C302" s="362"/>
      <c r="D302" s="192">
        <v>2</v>
      </c>
      <c r="E302" s="192">
        <v>3</v>
      </c>
      <c r="F302" s="192">
        <v>4</v>
      </c>
    </row>
    <row r="303" spans="1:9" hidden="1" x14ac:dyDescent="0.25">
      <c r="A303" s="192">
        <v>1</v>
      </c>
      <c r="B303" s="320" t="s">
        <v>66</v>
      </c>
      <c r="C303" s="320"/>
      <c r="D303" s="192">
        <v>6</v>
      </c>
      <c r="E303" s="117">
        <v>1500</v>
      </c>
      <c r="F303" s="117"/>
    </row>
    <row r="304" spans="1:9" hidden="1" x14ac:dyDescent="0.25">
      <c r="A304" s="185">
        <v>2</v>
      </c>
      <c r="B304" s="320" t="s">
        <v>65</v>
      </c>
      <c r="C304" s="320"/>
      <c r="D304" s="185">
        <v>10</v>
      </c>
      <c r="E304" s="133">
        <v>2600</v>
      </c>
      <c r="F304" s="117"/>
    </row>
    <row r="305" spans="1:8" ht="15" hidden="1" customHeight="1" x14ac:dyDescent="0.25">
      <c r="A305" s="193"/>
      <c r="B305" s="360" t="s">
        <v>450</v>
      </c>
      <c r="C305" s="360"/>
      <c r="D305" s="193"/>
      <c r="E305" s="193" t="s">
        <v>451</v>
      </c>
      <c r="F305" s="154">
        <f>SUM(F303:F304)</f>
        <v>0</v>
      </c>
    </row>
    <row r="306" spans="1:8" ht="15.75" hidden="1" customHeight="1" x14ac:dyDescent="0.25">
      <c r="G306" s="70">
        <f>'р.3 2019'!AB139</f>
        <v>0</v>
      </c>
      <c r="H306" s="93">
        <f>G306-F311</f>
        <v>0</v>
      </c>
    </row>
    <row r="307" spans="1:8" ht="15.75" hidden="1" customHeight="1" x14ac:dyDescent="0.25">
      <c r="A307" s="347" t="s">
        <v>128</v>
      </c>
      <c r="B307" s="347"/>
      <c r="C307" s="347"/>
      <c r="D307" s="347"/>
      <c r="E307" s="347"/>
      <c r="F307" s="347"/>
      <c r="H307" s="93"/>
    </row>
    <row r="308" spans="1:8" ht="15.75" hidden="1" customHeight="1" x14ac:dyDescent="0.25">
      <c r="A308" s="192" t="s">
        <v>442</v>
      </c>
      <c r="B308" s="302" t="s">
        <v>454</v>
      </c>
      <c r="C308" s="302"/>
      <c r="D308" s="192" t="s">
        <v>540</v>
      </c>
      <c r="E308" s="192" t="s">
        <v>553</v>
      </c>
      <c r="F308" s="192" t="s">
        <v>554</v>
      </c>
      <c r="H308" s="93"/>
    </row>
    <row r="309" spans="1:8" ht="15.75" hidden="1" customHeight="1" x14ac:dyDescent="0.25">
      <c r="A309" s="192" t="s">
        <v>555</v>
      </c>
      <c r="B309" s="302">
        <v>1</v>
      </c>
      <c r="C309" s="302"/>
      <c r="D309" s="192">
        <v>2</v>
      </c>
      <c r="E309" s="192">
        <v>3</v>
      </c>
      <c r="F309" s="192">
        <v>4</v>
      </c>
      <c r="H309" s="93"/>
    </row>
    <row r="310" spans="1:8" ht="18" hidden="1" customHeight="1" x14ac:dyDescent="0.25">
      <c r="A310" s="192">
        <v>1</v>
      </c>
      <c r="B310" s="320" t="s">
        <v>112</v>
      </c>
      <c r="C310" s="320"/>
      <c r="D310" s="192">
        <f>3</f>
        <v>3</v>
      </c>
      <c r="E310" s="117">
        <v>218.6</v>
      </c>
      <c r="F310" s="117"/>
      <c r="H310" s="94" t="s">
        <v>96</v>
      </c>
    </row>
    <row r="311" spans="1:8" ht="15.75" hidden="1" customHeight="1" x14ac:dyDescent="0.25">
      <c r="A311" s="193"/>
      <c r="B311" s="360" t="s">
        <v>450</v>
      </c>
      <c r="C311" s="360"/>
      <c r="D311" s="193"/>
      <c r="E311" s="193" t="s">
        <v>451</v>
      </c>
      <c r="F311" s="154">
        <f>SUM(F310:F310)</f>
        <v>0</v>
      </c>
      <c r="G311" s="70">
        <f>'р.3 2019'!Z139</f>
        <v>0</v>
      </c>
      <c r="H311" s="93">
        <f>G311-F316</f>
        <v>0</v>
      </c>
    </row>
    <row r="312" spans="1:8" ht="15.75" hidden="1" x14ac:dyDescent="0.25">
      <c r="A312" s="347" t="s">
        <v>131</v>
      </c>
      <c r="B312" s="347"/>
      <c r="C312" s="347"/>
      <c r="D312" s="347"/>
      <c r="E312" s="347"/>
      <c r="F312" s="347"/>
    </row>
    <row r="313" spans="1:8" ht="30" hidden="1" x14ac:dyDescent="0.25">
      <c r="A313" s="192" t="s">
        <v>442</v>
      </c>
      <c r="B313" s="302" t="s">
        <v>454</v>
      </c>
      <c r="C313" s="302"/>
      <c r="D313" s="192" t="s">
        <v>540</v>
      </c>
      <c r="E313" s="192" t="s">
        <v>553</v>
      </c>
      <c r="F313" s="192" t="s">
        <v>554</v>
      </c>
      <c r="G313" s="70">
        <f>'р.3 2019'!F139</f>
        <v>0</v>
      </c>
      <c r="H313" s="93">
        <f>G313-F323</f>
        <v>0</v>
      </c>
    </row>
    <row r="314" spans="1:8" hidden="1" x14ac:dyDescent="0.25">
      <c r="A314" s="192" t="s">
        <v>555</v>
      </c>
      <c r="B314" s="302">
        <v>1</v>
      </c>
      <c r="C314" s="302"/>
      <c r="D314" s="192">
        <v>2</v>
      </c>
      <c r="E314" s="192">
        <v>3</v>
      </c>
      <c r="F314" s="192">
        <v>4</v>
      </c>
    </row>
    <row r="315" spans="1:8" hidden="1" x14ac:dyDescent="0.25">
      <c r="A315" s="192">
        <v>1</v>
      </c>
      <c r="B315" s="320" t="s">
        <v>112</v>
      </c>
      <c r="C315" s="320"/>
      <c r="D315" s="192">
        <f>3-3</f>
        <v>0</v>
      </c>
      <c r="E315" s="117">
        <v>218.6</v>
      </c>
      <c r="F315" s="117">
        <f>D315*E315</f>
        <v>0</v>
      </c>
    </row>
    <row r="316" spans="1:8" hidden="1" x14ac:dyDescent="0.25">
      <c r="A316" s="193"/>
      <c r="B316" s="360" t="s">
        <v>450</v>
      </c>
      <c r="C316" s="360"/>
      <c r="D316" s="193"/>
      <c r="E316" s="193" t="s">
        <v>451</v>
      </c>
      <c r="F316" s="154">
        <f>SUM(F315:F315)</f>
        <v>0</v>
      </c>
    </row>
    <row r="317" spans="1:8" ht="15.75" hidden="1" x14ac:dyDescent="0.25">
      <c r="A317" s="347" t="s">
        <v>98</v>
      </c>
      <c r="B317" s="347"/>
      <c r="C317" s="347"/>
      <c r="D317" s="347"/>
      <c r="E317" s="347"/>
      <c r="F317" s="347"/>
    </row>
    <row r="318" spans="1:8" ht="45" hidden="1" x14ac:dyDescent="0.25">
      <c r="A318" s="192" t="s">
        <v>442</v>
      </c>
      <c r="B318" s="302" t="s">
        <v>454</v>
      </c>
      <c r="C318" s="302"/>
      <c r="D318" s="192" t="s">
        <v>540</v>
      </c>
      <c r="E318" s="192" t="s">
        <v>102</v>
      </c>
      <c r="F318" s="192" t="s">
        <v>554</v>
      </c>
    </row>
    <row r="319" spans="1:8" hidden="1" x14ac:dyDescent="0.25">
      <c r="A319" s="192" t="s">
        <v>555</v>
      </c>
      <c r="B319" s="302">
        <v>1</v>
      </c>
      <c r="C319" s="302"/>
      <c r="D319" s="192">
        <v>2</v>
      </c>
      <c r="E319" s="192">
        <v>3</v>
      </c>
      <c r="F319" s="192">
        <v>4</v>
      </c>
      <c r="G319" s="70">
        <f>'р.3 2019'!H139</f>
        <v>0</v>
      </c>
      <c r="H319" s="93">
        <f>G319-F336</f>
        <v>-110261.1685</v>
      </c>
    </row>
    <row r="320" spans="1:8" hidden="1" x14ac:dyDescent="0.25">
      <c r="A320" s="192">
        <v>1</v>
      </c>
      <c r="B320" s="320" t="s">
        <v>99</v>
      </c>
      <c r="C320" s="320"/>
      <c r="D320" s="192">
        <v>1</v>
      </c>
      <c r="E320" s="117">
        <f>ROUND(5266.36*1.18,2)</f>
        <v>6214.3</v>
      </c>
      <c r="F320" s="117"/>
    </row>
    <row r="321" spans="1:8" hidden="1" x14ac:dyDescent="0.25">
      <c r="A321" s="192">
        <v>2</v>
      </c>
      <c r="B321" s="320" t="s">
        <v>100</v>
      </c>
      <c r="C321" s="320"/>
      <c r="D321" s="192">
        <v>1</v>
      </c>
      <c r="E321" s="117">
        <f>ROUND(237.2*1.18,2)</f>
        <v>279.89999999999998</v>
      </c>
      <c r="F321" s="117"/>
    </row>
    <row r="322" spans="1:8" hidden="1" x14ac:dyDescent="0.25">
      <c r="A322" s="185">
        <v>3</v>
      </c>
      <c r="B322" s="320" t="s">
        <v>101</v>
      </c>
      <c r="C322" s="320"/>
      <c r="D322" s="185">
        <v>1</v>
      </c>
      <c r="E322" s="133">
        <f>ROUND(920.91*1.18,2)</f>
        <v>1086.67</v>
      </c>
      <c r="F322" s="117"/>
    </row>
    <row r="323" spans="1:8" hidden="1" x14ac:dyDescent="0.25">
      <c r="A323" s="193"/>
      <c r="B323" s="360" t="s">
        <v>450</v>
      </c>
      <c r="C323" s="360"/>
      <c r="D323" s="193"/>
      <c r="E323" s="193" t="s">
        <v>451</v>
      </c>
      <c r="F323" s="154">
        <f>SUM(F320:F322)</f>
        <v>0</v>
      </c>
    </row>
    <row r="324" spans="1:8" x14ac:dyDescent="0.25">
      <c r="A324" s="363" t="s">
        <v>816</v>
      </c>
      <c r="B324" s="363"/>
      <c r="C324" s="363"/>
      <c r="D324" s="363"/>
      <c r="E324" s="363"/>
      <c r="F324" s="363"/>
    </row>
    <row r="325" spans="1:8" ht="15.75" x14ac:dyDescent="0.25">
      <c r="A325" s="347" t="s">
        <v>817</v>
      </c>
      <c r="B325" s="347"/>
      <c r="C325" s="347"/>
      <c r="D325" s="347"/>
      <c r="E325" s="347"/>
      <c r="F325" s="347"/>
    </row>
    <row r="326" spans="1:8" ht="45" x14ac:dyDescent="0.25">
      <c r="A326" s="192" t="s">
        <v>442</v>
      </c>
      <c r="B326" s="302" t="s">
        <v>454</v>
      </c>
      <c r="C326" s="302"/>
      <c r="D326" s="192" t="s">
        <v>540</v>
      </c>
      <c r="E326" s="192" t="s">
        <v>102</v>
      </c>
      <c r="F326" s="192" t="s">
        <v>554</v>
      </c>
    </row>
    <row r="327" spans="1:8" x14ac:dyDescent="0.25">
      <c r="A327" s="192" t="s">
        <v>555</v>
      </c>
      <c r="B327" s="302">
        <v>1</v>
      </c>
      <c r="C327" s="302"/>
      <c r="D327" s="192">
        <v>2</v>
      </c>
      <c r="E327" s="192">
        <v>3</v>
      </c>
      <c r="F327" s="192">
        <v>4</v>
      </c>
    </row>
    <row r="328" spans="1:8" x14ac:dyDescent="0.25">
      <c r="A328" s="364" t="s">
        <v>129</v>
      </c>
      <c r="B328" s="365"/>
      <c r="C328" s="365"/>
      <c r="D328" s="365"/>
      <c r="E328" s="365"/>
      <c r="F328" s="366"/>
    </row>
    <row r="329" spans="1:8" x14ac:dyDescent="0.25">
      <c r="A329" s="192">
        <v>1</v>
      </c>
      <c r="B329" s="320" t="s">
        <v>130</v>
      </c>
      <c r="C329" s="320"/>
      <c r="D329" s="192">
        <v>7</v>
      </c>
      <c r="E329" s="117">
        <v>650</v>
      </c>
      <c r="F329" s="117">
        <f>D329*E329</f>
        <v>4550</v>
      </c>
    </row>
    <row r="330" spans="1:8" x14ac:dyDescent="0.25">
      <c r="A330" s="192">
        <v>2</v>
      </c>
      <c r="B330" s="324" t="s">
        <v>135</v>
      </c>
      <c r="C330" s="326"/>
      <c r="D330" s="192">
        <v>80</v>
      </c>
      <c r="E330" s="117">
        <v>250</v>
      </c>
      <c r="F330" s="117">
        <f t="shared" ref="F330:F335" si="0">D330*E330</f>
        <v>20000</v>
      </c>
      <c r="H330" s="93"/>
    </row>
    <row r="331" spans="1:8" x14ac:dyDescent="0.25">
      <c r="A331" s="253">
        <v>2</v>
      </c>
      <c r="B331" s="324" t="s">
        <v>134</v>
      </c>
      <c r="C331" s="326"/>
      <c r="D331" s="253">
        <v>80</v>
      </c>
      <c r="E331" s="117">
        <v>250</v>
      </c>
      <c r="F331" s="117">
        <f t="shared" ref="F331" si="1">D331*E331</f>
        <v>20000</v>
      </c>
      <c r="H331" s="93"/>
    </row>
    <row r="332" spans="1:8" x14ac:dyDescent="0.25">
      <c r="A332" s="192">
        <v>3</v>
      </c>
      <c r="B332" s="320" t="s">
        <v>133</v>
      </c>
      <c r="C332" s="320"/>
      <c r="D332" s="192">
        <v>50</v>
      </c>
      <c r="E332" s="192">
        <v>500</v>
      </c>
      <c r="F332" s="117">
        <f t="shared" si="0"/>
        <v>25000</v>
      </c>
    </row>
    <row r="333" spans="1:8" x14ac:dyDescent="0.25">
      <c r="A333" s="192">
        <v>4</v>
      </c>
      <c r="B333" s="324" t="s">
        <v>142</v>
      </c>
      <c r="C333" s="326"/>
      <c r="D333" s="192">
        <v>10</v>
      </c>
      <c r="E333" s="192">
        <v>1500</v>
      </c>
      <c r="F333" s="117">
        <f t="shared" si="0"/>
        <v>15000</v>
      </c>
    </row>
    <row r="334" spans="1:8" x14ac:dyDescent="0.25">
      <c r="A334" s="192">
        <v>5</v>
      </c>
      <c r="B334" s="324" t="s">
        <v>136</v>
      </c>
      <c r="C334" s="326"/>
      <c r="D334" s="257">
        <v>51.407789999999999</v>
      </c>
      <c r="E334" s="192">
        <v>150</v>
      </c>
      <c r="F334" s="117">
        <f t="shared" si="0"/>
        <v>7711.1684999999998</v>
      </c>
    </row>
    <row r="335" spans="1:8" x14ac:dyDescent="0.25">
      <c r="A335" s="192">
        <v>6</v>
      </c>
      <c r="B335" s="320" t="s">
        <v>134</v>
      </c>
      <c r="C335" s="320"/>
      <c r="D335" s="192">
        <v>60</v>
      </c>
      <c r="E335" s="117">
        <v>300</v>
      </c>
      <c r="F335" s="117">
        <f t="shared" si="0"/>
        <v>18000</v>
      </c>
    </row>
    <row r="336" spans="1:8" x14ac:dyDescent="0.25">
      <c r="A336" s="193"/>
      <c r="B336" s="360" t="s">
        <v>450</v>
      </c>
      <c r="C336" s="360"/>
      <c r="D336" s="193"/>
      <c r="E336" s="193" t="s">
        <v>451</v>
      </c>
      <c r="F336" s="154">
        <f>SUM(F329:F335)</f>
        <v>110261.1685</v>
      </c>
      <c r="G336" s="115">
        <f>'р.3 2019'!H139</f>
        <v>0</v>
      </c>
      <c r="H336" s="93">
        <f>G336-F336</f>
        <v>-110261.1685</v>
      </c>
    </row>
    <row r="337" spans="1:8" x14ac:dyDescent="0.25">
      <c r="A337" s="364" t="s">
        <v>818</v>
      </c>
      <c r="B337" s="365"/>
      <c r="C337" s="365"/>
      <c r="D337" s="365"/>
      <c r="E337" s="365"/>
      <c r="F337" s="366"/>
    </row>
    <row r="338" spans="1:8" x14ac:dyDescent="0.25">
      <c r="A338" s="253">
        <v>1</v>
      </c>
      <c r="B338" s="320" t="s">
        <v>819</v>
      </c>
      <c r="C338" s="320"/>
      <c r="D338" s="253">
        <v>2</v>
      </c>
      <c r="E338" s="117">
        <v>4100</v>
      </c>
      <c r="F338" s="117">
        <f>D338*E338</f>
        <v>8200</v>
      </c>
      <c r="G338" s="70">
        <f>'р.3 2019'!K139</f>
        <v>0</v>
      </c>
      <c r="H338" s="93">
        <f>F338-G338</f>
        <v>8200</v>
      </c>
    </row>
  </sheetData>
  <mergeCells count="271">
    <mergeCell ref="A337:F337"/>
    <mergeCell ref="B338:C338"/>
    <mergeCell ref="B331:C331"/>
    <mergeCell ref="B240:D240"/>
    <mergeCell ref="B256:D256"/>
    <mergeCell ref="A255:F255"/>
    <mergeCell ref="A257:F257"/>
    <mergeCell ref="B323:C323"/>
    <mergeCell ref="B321:C321"/>
    <mergeCell ref="B303:C303"/>
    <mergeCell ref="A307:F307"/>
    <mergeCell ref="B308:C308"/>
    <mergeCell ref="B318:C318"/>
    <mergeCell ref="B319:C319"/>
    <mergeCell ref="B320:C320"/>
    <mergeCell ref="B322:C322"/>
    <mergeCell ref="A317:F317"/>
    <mergeCell ref="A294:F294"/>
    <mergeCell ref="B295:C295"/>
    <mergeCell ref="B296:C296"/>
    <mergeCell ref="B297:C297"/>
    <mergeCell ref="B298:C298"/>
    <mergeCell ref="A262:F262"/>
    <mergeCell ref="B263:D263"/>
    <mergeCell ref="B103:C103"/>
    <mergeCell ref="B104:C104"/>
    <mergeCell ref="B110:C110"/>
    <mergeCell ref="B150:C150"/>
    <mergeCell ref="B109:C109"/>
    <mergeCell ref="B148:C148"/>
    <mergeCell ref="A156:F156"/>
    <mergeCell ref="A112:F112"/>
    <mergeCell ref="B292:C292"/>
    <mergeCell ref="A288:F288"/>
    <mergeCell ref="A290:F290"/>
    <mergeCell ref="B274:D274"/>
    <mergeCell ref="B266:D266"/>
    <mergeCell ref="B267:D267"/>
    <mergeCell ref="B158:C158"/>
    <mergeCell ref="A163:F163"/>
    <mergeCell ref="B160:C160"/>
    <mergeCell ref="B161:C161"/>
    <mergeCell ref="B183:C183"/>
    <mergeCell ref="D180:D183"/>
    <mergeCell ref="B186:C186"/>
    <mergeCell ref="D186:D187"/>
    <mergeCell ref="B196:C196"/>
    <mergeCell ref="A170:F170"/>
    <mergeCell ref="B233:D233"/>
    <mergeCell ref="A167:F167"/>
    <mergeCell ref="A191:F191"/>
    <mergeCell ref="B193:C193"/>
    <mergeCell ref="B194:C194"/>
    <mergeCell ref="B195:C195"/>
    <mergeCell ref="B232:D232"/>
    <mergeCell ref="B223:D223"/>
    <mergeCell ref="B224:D224"/>
    <mergeCell ref="B227:D227"/>
    <mergeCell ref="B108:C108"/>
    <mergeCell ref="A113:F113"/>
    <mergeCell ref="A145:F145"/>
    <mergeCell ref="B147:C147"/>
    <mergeCell ref="B165:C165"/>
    <mergeCell ref="B166:C166"/>
    <mergeCell ref="B168:C168"/>
    <mergeCell ref="A164:F164"/>
    <mergeCell ref="B187:C187"/>
    <mergeCell ref="E22:F22"/>
    <mergeCell ref="B149:C149"/>
    <mergeCell ref="A115:F115"/>
    <mergeCell ref="A14:F14"/>
    <mergeCell ref="E20:F20"/>
    <mergeCell ref="A17:F17"/>
    <mergeCell ref="A18:F18"/>
    <mergeCell ref="A16:F16"/>
    <mergeCell ref="A40:F40"/>
    <mergeCell ref="A41:F41"/>
    <mergeCell ref="A42:F42"/>
    <mergeCell ref="A43:F43"/>
    <mergeCell ref="E44:F44"/>
    <mergeCell ref="A19:F19"/>
    <mergeCell ref="E21:F21"/>
    <mergeCell ref="A129:F129"/>
    <mergeCell ref="A136:F136"/>
    <mergeCell ref="A101:F101"/>
    <mergeCell ref="A32:F32"/>
    <mergeCell ref="A33:F33"/>
    <mergeCell ref="A34:F34"/>
    <mergeCell ref="E35:F35"/>
    <mergeCell ref="A102:F102"/>
    <mergeCell ref="E36:F36"/>
    <mergeCell ref="A2:F2"/>
    <mergeCell ref="A3:F3"/>
    <mergeCell ref="A5:F5"/>
    <mergeCell ref="A6:F6"/>
    <mergeCell ref="B8:C8"/>
    <mergeCell ref="B9:C9"/>
    <mergeCell ref="B10:C10"/>
    <mergeCell ref="B11:C11"/>
    <mergeCell ref="A13:F13"/>
    <mergeCell ref="A7:F7"/>
    <mergeCell ref="E23:F23"/>
    <mergeCell ref="E47:F47"/>
    <mergeCell ref="A61:F61"/>
    <mergeCell ref="E45:F45"/>
    <mergeCell ref="E46:F46"/>
    <mergeCell ref="B44:C44"/>
    <mergeCell ref="E37:F37"/>
    <mergeCell ref="E38:F38"/>
    <mergeCell ref="B58:C58"/>
    <mergeCell ref="B37:D37"/>
    <mergeCell ref="B38:D38"/>
    <mergeCell ref="B35:D35"/>
    <mergeCell ref="B36:D36"/>
    <mergeCell ref="E27:F27"/>
    <mergeCell ref="E28:F28"/>
    <mergeCell ref="E29:F29"/>
    <mergeCell ref="E30:F30"/>
    <mergeCell ref="A26:F26"/>
    <mergeCell ref="A25:F25"/>
    <mergeCell ref="B46:C46"/>
    <mergeCell ref="B45:C45"/>
    <mergeCell ref="B47:C47"/>
    <mergeCell ref="A50:F50"/>
    <mergeCell ref="A51:F51"/>
    <mergeCell ref="A53:F53"/>
    <mergeCell ref="B56:C56"/>
    <mergeCell ref="B57:C57"/>
    <mergeCell ref="A85:F85"/>
    <mergeCell ref="A81:F81"/>
    <mergeCell ref="A82:F82"/>
    <mergeCell ref="A83:F83"/>
    <mergeCell ref="A84:F84"/>
    <mergeCell ref="B70:C70"/>
    <mergeCell ref="B77:C77"/>
    <mergeCell ref="E77:F77"/>
    <mergeCell ref="B59:C59"/>
    <mergeCell ref="B67:C67"/>
    <mergeCell ref="B68:C68"/>
    <mergeCell ref="B69:C69"/>
    <mergeCell ref="B71:C71"/>
    <mergeCell ref="A80:F80"/>
    <mergeCell ref="A73:F73"/>
    <mergeCell ref="B74:C74"/>
    <mergeCell ref="E74:F74"/>
    <mergeCell ref="B75:C75"/>
    <mergeCell ref="E75:F75"/>
    <mergeCell ref="B76:C76"/>
    <mergeCell ref="E76:F76"/>
    <mergeCell ref="A62:F62"/>
    <mergeCell ref="B182:C182"/>
    <mergeCell ref="B169:C169"/>
    <mergeCell ref="B171:C171"/>
    <mergeCell ref="B172:C172"/>
    <mergeCell ref="B173:C173"/>
    <mergeCell ref="A64:F64"/>
    <mergeCell ref="A65:F65"/>
    <mergeCell ref="A93:F93"/>
    <mergeCell ref="A100:F100"/>
    <mergeCell ref="A87:F87"/>
    <mergeCell ref="A152:F152"/>
    <mergeCell ref="A153:F153"/>
    <mergeCell ref="B157:C157"/>
    <mergeCell ref="B159:C159"/>
    <mergeCell ref="B105:C105"/>
    <mergeCell ref="A122:F122"/>
    <mergeCell ref="A175:F175"/>
    <mergeCell ref="B177:C177"/>
    <mergeCell ref="B178:C178"/>
    <mergeCell ref="A155:F155"/>
    <mergeCell ref="B106:C106"/>
    <mergeCell ref="B107:C107"/>
    <mergeCell ref="A179:F179"/>
    <mergeCell ref="A215:F215"/>
    <mergeCell ref="A231:F231"/>
    <mergeCell ref="B229:D229"/>
    <mergeCell ref="B206:C206"/>
    <mergeCell ref="B207:C207"/>
    <mergeCell ref="B189:C189"/>
    <mergeCell ref="B180:C180"/>
    <mergeCell ref="B181:C181"/>
    <mergeCell ref="A185:F185"/>
    <mergeCell ref="B184:C184"/>
    <mergeCell ref="B188:C188"/>
    <mergeCell ref="B335:C335"/>
    <mergeCell ref="B336:C336"/>
    <mergeCell ref="B208:C208"/>
    <mergeCell ref="B209:C209"/>
    <mergeCell ref="B242:D242"/>
    <mergeCell ref="A244:F244"/>
    <mergeCell ref="B200:C200"/>
    <mergeCell ref="B241:D241"/>
    <mergeCell ref="A212:F212"/>
    <mergeCell ref="B216:D216"/>
    <mergeCell ref="B217:D217"/>
    <mergeCell ref="A237:F237"/>
    <mergeCell ref="B238:D238"/>
    <mergeCell ref="B239:D239"/>
    <mergeCell ref="A203:F203"/>
    <mergeCell ref="A225:F225"/>
    <mergeCell ref="A228:F228"/>
    <mergeCell ref="B247:D247"/>
    <mergeCell ref="B330:C330"/>
    <mergeCell ref="B272:D272"/>
    <mergeCell ref="B273:D273"/>
    <mergeCell ref="A252:F252"/>
    <mergeCell ref="A270:F270"/>
    <mergeCell ref="B271:D271"/>
    <mergeCell ref="B309:C309"/>
    <mergeCell ref="B310:C310"/>
    <mergeCell ref="B311:C311"/>
    <mergeCell ref="A312:F312"/>
    <mergeCell ref="B313:C313"/>
    <mergeCell ref="B249:D249"/>
    <mergeCell ref="A251:F251"/>
    <mergeCell ref="B265:D265"/>
    <mergeCell ref="A269:F269"/>
    <mergeCell ref="A261:F261"/>
    <mergeCell ref="B291:C291"/>
    <mergeCell ref="B264:D264"/>
    <mergeCell ref="B254:D254"/>
    <mergeCell ref="B258:D258"/>
    <mergeCell ref="B259:D259"/>
    <mergeCell ref="B248:D248"/>
    <mergeCell ref="B304:C304"/>
    <mergeCell ref="B305:C305"/>
    <mergeCell ref="A276:F276"/>
    <mergeCell ref="A245:F245"/>
    <mergeCell ref="B246:D246"/>
    <mergeCell ref="B199:C199"/>
    <mergeCell ref="D195:D200"/>
    <mergeCell ref="B218:D218"/>
    <mergeCell ref="B226:D226"/>
    <mergeCell ref="B197:C197"/>
    <mergeCell ref="B198:C198"/>
    <mergeCell ref="B234:D234"/>
    <mergeCell ref="B201:C201"/>
    <mergeCell ref="A236:F236"/>
    <mergeCell ref="B219:D219"/>
    <mergeCell ref="A214:F214"/>
    <mergeCell ref="B205:C205"/>
    <mergeCell ref="A221:F221"/>
    <mergeCell ref="A222:F222"/>
    <mergeCell ref="A277:F277"/>
    <mergeCell ref="B301:C301"/>
    <mergeCell ref="B253:D253"/>
    <mergeCell ref="B230:D230"/>
    <mergeCell ref="B334:C334"/>
    <mergeCell ref="A278:F278"/>
    <mergeCell ref="B279:C279"/>
    <mergeCell ref="B280:C280"/>
    <mergeCell ref="B281:C281"/>
    <mergeCell ref="B282:C282"/>
    <mergeCell ref="B283:C283"/>
    <mergeCell ref="A325:F325"/>
    <mergeCell ref="B326:C326"/>
    <mergeCell ref="B327:C327"/>
    <mergeCell ref="B314:C314"/>
    <mergeCell ref="B315:C315"/>
    <mergeCell ref="B302:C302"/>
    <mergeCell ref="B333:C333"/>
    <mergeCell ref="B329:C329"/>
    <mergeCell ref="B332:C332"/>
    <mergeCell ref="B316:C316"/>
    <mergeCell ref="A324:F324"/>
    <mergeCell ref="A328:F328"/>
    <mergeCell ref="A300:F300"/>
    <mergeCell ref="A285:F285"/>
    <mergeCell ref="B286:C286"/>
    <mergeCell ref="B287:C287"/>
    <mergeCell ref="B289:C289"/>
  </mergeCells>
  <phoneticPr fontId="38" type="noConversion"/>
  <pageMargins left="1.0629921259842521" right="0.47244094488188981" top="0.19685039370078741" bottom="0" header="0.19685039370078741" footer="0.19685039370078741"/>
  <pageSetup paperSize="9" scale="75" orientation="portrait" r:id="rId1"/>
  <rowBreaks count="2" manualBreakCount="2">
    <brk id="174" max="16383" man="1"/>
    <brk id="235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34"/>
  <sheetViews>
    <sheetView topLeftCell="A4" zoomScale="110" zoomScaleNormal="110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6.28515625" style="70" customWidth="1"/>
    <col min="4" max="5" width="9.28515625" style="70" customWidth="1"/>
    <col min="6" max="6" width="7.140625" style="70" customWidth="1"/>
    <col min="7" max="7" width="9.28515625" style="70" customWidth="1"/>
    <col min="8" max="8" width="7.5703125" style="70" customWidth="1"/>
    <col min="9" max="9" width="7.28515625" style="70" customWidth="1"/>
    <col min="10" max="10" width="13.7109375" style="70" customWidth="1"/>
    <col min="11" max="11" width="18" style="70" customWidth="1"/>
    <col min="12" max="12" width="16" style="70" bestFit="1" customWidth="1"/>
    <col min="13" max="13" width="16.7109375" style="70" customWidth="1"/>
    <col min="14" max="16384" width="9.140625" style="70"/>
  </cols>
  <sheetData>
    <row r="1" spans="1:10" s="91" customFormat="1" x14ac:dyDescent="0.25">
      <c r="C1" s="134"/>
      <c r="D1" s="134"/>
      <c r="J1" s="135" t="s">
        <v>441</v>
      </c>
    </row>
    <row r="2" spans="1:10" s="91" customFormat="1" ht="15.75" x14ac:dyDescent="0.25">
      <c r="A2" s="305" t="s">
        <v>467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s="91" customFormat="1" ht="15.75" x14ac:dyDescent="0.25">
      <c r="A3" s="305" t="s">
        <v>468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s="91" customFormat="1" ht="15.75" x14ac:dyDescent="0.25">
      <c r="A4" s="305" t="s">
        <v>469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s="91" customFormat="1" ht="15.75" x14ac:dyDescent="0.25">
      <c r="A5" s="305" t="s">
        <v>470</v>
      </c>
      <c r="B5" s="305"/>
      <c r="C5" s="305"/>
      <c r="D5" s="305"/>
      <c r="E5" s="305"/>
      <c r="F5" s="305"/>
      <c r="G5" s="305"/>
      <c r="H5" s="305"/>
      <c r="I5" s="305"/>
      <c r="J5" s="305"/>
    </row>
    <row r="6" spans="1:10" s="91" customFormat="1" ht="15.75" x14ac:dyDescent="0.25">
      <c r="A6" s="305" t="s">
        <v>471</v>
      </c>
      <c r="B6" s="305"/>
      <c r="C6" s="305"/>
      <c r="D6" s="305"/>
      <c r="E6" s="305"/>
      <c r="F6" s="305"/>
      <c r="G6" s="305"/>
      <c r="H6" s="305"/>
      <c r="I6" s="305"/>
      <c r="J6" s="305"/>
    </row>
    <row r="7" spans="1:10" s="91" customFormat="1" ht="15.75" x14ac:dyDescent="0.25">
      <c r="A7" s="305" t="s">
        <v>472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0" s="91" customFormat="1" ht="15.75" x14ac:dyDescent="0.25">
      <c r="A8" s="305" t="s">
        <v>473</v>
      </c>
      <c r="B8" s="305"/>
      <c r="C8" s="305"/>
      <c r="D8" s="305"/>
      <c r="E8" s="305"/>
      <c r="F8" s="305"/>
      <c r="G8" s="305"/>
      <c r="H8" s="305"/>
      <c r="I8" s="305"/>
      <c r="J8" s="305"/>
    </row>
    <row r="9" spans="1:10" s="91" customFormat="1" ht="15.75" x14ac:dyDescent="0.25">
      <c r="A9" s="305" t="s">
        <v>573</v>
      </c>
      <c r="B9" s="305"/>
      <c r="C9" s="305"/>
      <c r="D9" s="305"/>
      <c r="E9" s="305"/>
      <c r="F9" s="305"/>
      <c r="G9" s="305"/>
      <c r="H9" s="305"/>
      <c r="I9" s="305"/>
      <c r="J9" s="305"/>
    </row>
    <row r="10" spans="1:10" s="91" customFormat="1" ht="15.75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s="91" customFormat="1" ht="15.75" x14ac:dyDescent="0.25">
      <c r="A11" s="282" t="s">
        <v>464</v>
      </c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s="91" customFormat="1" ht="15.75" x14ac:dyDescent="0.25">
      <c r="A12" s="282" t="s">
        <v>465</v>
      </c>
      <c r="B12" s="282"/>
      <c r="C12" s="282"/>
      <c r="D12" s="282"/>
      <c r="E12" s="282"/>
      <c r="F12" s="282"/>
      <c r="G12" s="282"/>
      <c r="H12" s="282"/>
      <c r="I12" s="282"/>
      <c r="J12" s="282"/>
    </row>
    <row r="13" spans="1:10" s="91" customFormat="1" ht="15.75" x14ac:dyDescent="0.25">
      <c r="A13" s="282" t="s">
        <v>466</v>
      </c>
      <c r="B13" s="282"/>
      <c r="C13" s="282"/>
      <c r="D13" s="282"/>
      <c r="E13" s="282"/>
      <c r="F13" s="282"/>
      <c r="G13" s="282"/>
      <c r="H13" s="282"/>
      <c r="I13" s="282"/>
      <c r="J13" s="282"/>
    </row>
    <row r="14" spans="1:10" s="91" customFormat="1" ht="18.75" x14ac:dyDescent="0.3">
      <c r="A14" s="399" t="s">
        <v>748</v>
      </c>
      <c r="B14" s="399"/>
      <c r="C14" s="399"/>
      <c r="D14" s="399"/>
      <c r="E14" s="399"/>
      <c r="F14" s="399"/>
      <c r="G14" s="399"/>
      <c r="H14" s="399"/>
      <c r="I14" s="399"/>
      <c r="J14" s="399"/>
    </row>
    <row r="15" spans="1:10" s="91" customFormat="1" ht="15.75" x14ac:dyDescent="0.25">
      <c r="A15" s="282" t="s">
        <v>463</v>
      </c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s="91" customFormat="1" ht="9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3" s="91" customFormat="1" ht="15.75" x14ac:dyDescent="0.25">
      <c r="A17" s="304" t="s">
        <v>695</v>
      </c>
      <c r="B17" s="304"/>
      <c r="C17" s="304"/>
      <c r="D17" s="304"/>
      <c r="E17" s="304"/>
      <c r="F17" s="304"/>
      <c r="G17" s="304"/>
      <c r="H17" s="304"/>
      <c r="I17" s="304"/>
      <c r="J17" s="304"/>
    </row>
    <row r="18" spans="1:13" s="91" customFormat="1" ht="37.5" customHeight="1" x14ac:dyDescent="0.25">
      <c r="A18" s="301" t="s">
        <v>681</v>
      </c>
      <c r="B18" s="301"/>
      <c r="C18" s="301"/>
      <c r="D18" s="301"/>
      <c r="E18" s="301"/>
      <c r="F18" s="301"/>
      <c r="G18" s="301"/>
      <c r="H18" s="301"/>
      <c r="I18" s="301"/>
      <c r="J18" s="301"/>
    </row>
    <row r="19" spans="1:13" s="91" customFormat="1" ht="10.5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3" s="91" customFormat="1" ht="30.75" customHeight="1" x14ac:dyDescent="0.25">
      <c r="A20" s="301" t="s">
        <v>148</v>
      </c>
      <c r="B20" s="301"/>
      <c r="C20" s="301"/>
      <c r="D20" s="301"/>
      <c r="E20" s="301"/>
      <c r="F20" s="301"/>
      <c r="G20" s="301"/>
      <c r="H20" s="301"/>
      <c r="I20" s="301"/>
      <c r="J20" s="301"/>
    </row>
    <row r="21" spans="1:13" ht="10.5" customHeight="1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3" ht="30" customHeight="1" x14ac:dyDescent="0.25">
      <c r="A22" s="302" t="s">
        <v>442</v>
      </c>
      <c r="B22" s="302" t="s">
        <v>443</v>
      </c>
      <c r="C22" s="302" t="s">
        <v>444</v>
      </c>
      <c r="D22" s="302" t="s">
        <v>445</v>
      </c>
      <c r="E22" s="302"/>
      <c r="F22" s="302"/>
      <c r="G22" s="302"/>
      <c r="H22" s="302" t="s">
        <v>693</v>
      </c>
      <c r="I22" s="302" t="s">
        <v>446</v>
      </c>
      <c r="J22" s="302" t="s">
        <v>746</v>
      </c>
    </row>
    <row r="23" spans="1:13" ht="15.75" customHeight="1" x14ac:dyDescent="0.25">
      <c r="A23" s="302"/>
      <c r="B23" s="302"/>
      <c r="C23" s="302"/>
      <c r="D23" s="302" t="s">
        <v>405</v>
      </c>
      <c r="E23" s="302" t="s">
        <v>187</v>
      </c>
      <c r="F23" s="302"/>
      <c r="G23" s="302"/>
      <c r="H23" s="302"/>
      <c r="I23" s="302"/>
      <c r="J23" s="302"/>
    </row>
    <row r="24" spans="1:13" ht="136.5" customHeight="1" x14ac:dyDescent="0.25">
      <c r="A24" s="302"/>
      <c r="B24" s="302"/>
      <c r="C24" s="302"/>
      <c r="D24" s="302"/>
      <c r="E24" s="185" t="s">
        <v>447</v>
      </c>
      <c r="F24" s="185" t="s">
        <v>448</v>
      </c>
      <c r="G24" s="185" t="s">
        <v>449</v>
      </c>
      <c r="H24" s="302"/>
      <c r="I24" s="302"/>
      <c r="J24" s="302"/>
    </row>
    <row r="25" spans="1:13" x14ac:dyDescent="0.25">
      <c r="A25" s="185">
        <v>1</v>
      </c>
      <c r="B25" s="185">
        <v>2</v>
      </c>
      <c r="C25" s="185">
        <v>3</v>
      </c>
      <c r="D25" s="185">
        <v>4</v>
      </c>
      <c r="E25" s="185">
        <v>5</v>
      </c>
      <c r="F25" s="185">
        <v>6</v>
      </c>
      <c r="G25" s="185">
        <v>7</v>
      </c>
      <c r="H25" s="185">
        <v>8</v>
      </c>
      <c r="I25" s="185">
        <v>9</v>
      </c>
      <c r="J25" s="197">
        <v>10</v>
      </c>
    </row>
    <row r="26" spans="1:13" ht="44.25" customHeight="1" x14ac:dyDescent="0.25">
      <c r="A26" s="185">
        <v>1</v>
      </c>
      <c r="B26" s="185" t="s">
        <v>685</v>
      </c>
      <c r="C26" s="136">
        <v>3</v>
      </c>
      <c r="D26" s="136">
        <f xml:space="preserve"> E26+F26+G26</f>
        <v>36810.23914273984</v>
      </c>
      <c r="E26" s="136">
        <f>ROUND(103115/3,0)</f>
        <v>34372</v>
      </c>
      <c r="F26" s="136"/>
      <c r="G26" s="136">
        <v>2438.2391427398393</v>
      </c>
      <c r="H26" s="185">
        <v>80</v>
      </c>
      <c r="I26" s="185">
        <v>0.7</v>
      </c>
      <c r="J26" s="133">
        <f>ROUND(C26*D26*(1+H26/100+I26)*12,0)</f>
        <v>3312922</v>
      </c>
      <c r="M26" s="90"/>
    </row>
    <row r="27" spans="1:13" ht="45.75" customHeight="1" x14ac:dyDescent="0.25">
      <c r="A27" s="185">
        <v>2</v>
      </c>
      <c r="B27" s="185" t="s">
        <v>686</v>
      </c>
      <c r="C27" s="136">
        <v>1</v>
      </c>
      <c r="D27" s="136">
        <f t="shared" ref="D27:D32" si="0">E27+F27+G27</f>
        <v>7403.3266666666659</v>
      </c>
      <c r="E27" s="136">
        <v>5585</v>
      </c>
      <c r="F27" s="136"/>
      <c r="G27" s="136">
        <v>1818.3266666666664</v>
      </c>
      <c r="H27" s="185">
        <v>80</v>
      </c>
      <c r="I27" s="185">
        <v>0.7</v>
      </c>
      <c r="J27" s="133">
        <f t="shared" ref="J27:J32" si="1">ROUND(C27*D27*(1+H27/100+I27)*12,0)</f>
        <v>222100</v>
      </c>
      <c r="M27" s="90"/>
    </row>
    <row r="28" spans="1:13" ht="25.5" x14ac:dyDescent="0.25">
      <c r="A28" s="185">
        <v>3</v>
      </c>
      <c r="B28" s="137" t="s">
        <v>690</v>
      </c>
      <c r="C28" s="157">
        <v>38.700000000000003</v>
      </c>
      <c r="D28" s="157">
        <f t="shared" si="0"/>
        <v>12659.431601346107</v>
      </c>
      <c r="E28" s="157">
        <v>4402</v>
      </c>
      <c r="F28" s="157"/>
      <c r="G28" s="157">
        <v>8257.4316013461066</v>
      </c>
      <c r="H28" s="185">
        <v>80</v>
      </c>
      <c r="I28" s="185">
        <v>0.7</v>
      </c>
      <c r="J28" s="133">
        <f t="shared" si="1"/>
        <v>14697600</v>
      </c>
      <c r="M28" s="90"/>
    </row>
    <row r="29" spans="1:13" ht="25.5" x14ac:dyDescent="0.25">
      <c r="A29" s="185">
        <v>4</v>
      </c>
      <c r="B29" s="137" t="s">
        <v>691</v>
      </c>
      <c r="C29" s="136">
        <v>1</v>
      </c>
      <c r="D29" s="136">
        <f t="shared" si="0"/>
        <v>4738.8984424190439</v>
      </c>
      <c r="E29" s="136">
        <v>2950</v>
      </c>
      <c r="F29" s="136"/>
      <c r="G29" s="136">
        <v>1788.8984424190437</v>
      </c>
      <c r="H29" s="185">
        <v>80</v>
      </c>
      <c r="I29" s="185">
        <v>0.7</v>
      </c>
      <c r="J29" s="133">
        <f t="shared" si="1"/>
        <v>142167</v>
      </c>
      <c r="M29" s="90"/>
    </row>
    <row r="30" spans="1:13" ht="25.5" x14ac:dyDescent="0.25">
      <c r="A30" s="185">
        <v>5</v>
      </c>
      <c r="B30" s="137" t="s">
        <v>692</v>
      </c>
      <c r="C30" s="136">
        <v>3</v>
      </c>
      <c r="D30" s="136">
        <f t="shared" si="0"/>
        <v>7401.4155555555553</v>
      </c>
      <c r="E30" s="136">
        <v>5255</v>
      </c>
      <c r="F30" s="136">
        <v>0</v>
      </c>
      <c r="G30" s="136">
        <v>2146.4155555555549</v>
      </c>
      <c r="H30" s="185">
        <v>80</v>
      </c>
      <c r="I30" s="185">
        <v>0.7</v>
      </c>
      <c r="J30" s="133">
        <f t="shared" si="1"/>
        <v>666127</v>
      </c>
      <c r="M30" s="90"/>
    </row>
    <row r="31" spans="1:13" ht="31.5" customHeight="1" x14ac:dyDescent="0.25">
      <c r="A31" s="185">
        <v>6</v>
      </c>
      <c r="B31" s="137" t="s">
        <v>688</v>
      </c>
      <c r="C31" s="136">
        <v>3.5</v>
      </c>
      <c r="D31" s="136">
        <f t="shared" si="0"/>
        <v>7401.6371288833598</v>
      </c>
      <c r="E31" s="136">
        <f>ROUND(11503.5/3.5,0)</f>
        <v>3287</v>
      </c>
      <c r="F31" s="136"/>
      <c r="G31" s="136">
        <v>4114.6371288833598</v>
      </c>
      <c r="H31" s="185">
        <v>80</v>
      </c>
      <c r="I31" s="185">
        <v>0.7</v>
      </c>
      <c r="J31" s="133">
        <f t="shared" si="1"/>
        <v>777172</v>
      </c>
      <c r="M31" s="90"/>
    </row>
    <row r="32" spans="1:13" ht="30" customHeight="1" x14ac:dyDescent="0.25">
      <c r="A32" s="185">
        <v>7</v>
      </c>
      <c r="B32" s="137" t="s">
        <v>689</v>
      </c>
      <c r="C32" s="136">
        <v>23.75</v>
      </c>
      <c r="D32" s="136">
        <f t="shared" si="0"/>
        <v>7243.245373541652</v>
      </c>
      <c r="E32" s="136">
        <f>ROUND(57385.5/23.75,0)</f>
        <v>2416</v>
      </c>
      <c r="F32" s="136">
        <f>ROUND(3982.81/23.75,2)</f>
        <v>167.7</v>
      </c>
      <c r="G32" s="136">
        <v>4659.5453735416522</v>
      </c>
      <c r="H32" s="185">
        <v>80</v>
      </c>
      <c r="I32" s="185">
        <v>0.7</v>
      </c>
      <c r="J32" s="133">
        <f t="shared" si="1"/>
        <v>5160812</v>
      </c>
      <c r="M32" s="90"/>
    </row>
    <row r="33" spans="1:13" s="118" customFormat="1" x14ac:dyDescent="0.25">
      <c r="A33" s="300" t="s">
        <v>450</v>
      </c>
      <c r="B33" s="300"/>
      <c r="C33" s="138" t="s">
        <v>451</v>
      </c>
      <c r="D33" s="138"/>
      <c r="E33" s="138" t="s">
        <v>451</v>
      </c>
      <c r="F33" s="138" t="s">
        <v>451</v>
      </c>
      <c r="G33" s="138" t="s">
        <v>451</v>
      </c>
      <c r="H33" s="138" t="s">
        <v>451</v>
      </c>
      <c r="I33" s="138" t="s">
        <v>451</v>
      </c>
      <c r="J33" s="139">
        <f>SUM(J26:J32)</f>
        <v>24978900</v>
      </c>
      <c r="K33" s="159" t="e">
        <f>#REF!</f>
        <v>#REF!</v>
      </c>
      <c r="L33" s="160" t="e">
        <f>J33-K33</f>
        <v>#REF!</v>
      </c>
      <c r="M33" s="160"/>
    </row>
    <row r="34" spans="1:13" ht="15.75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</row>
  </sheetData>
  <mergeCells count="26">
    <mergeCell ref="A2:J2"/>
    <mergeCell ref="A3:J3"/>
    <mergeCell ref="A4:J4"/>
    <mergeCell ref="A5:J5"/>
    <mergeCell ref="A6:J6"/>
    <mergeCell ref="A7:J7"/>
    <mergeCell ref="A8:J8"/>
    <mergeCell ref="A9:J9"/>
    <mergeCell ref="A11:J11"/>
    <mergeCell ref="H22:H24"/>
    <mergeCell ref="I22:I24"/>
    <mergeCell ref="C22:C24"/>
    <mergeCell ref="D22:G22"/>
    <mergeCell ref="A12:J12"/>
    <mergeCell ref="A13:J13"/>
    <mergeCell ref="J22:J24"/>
    <mergeCell ref="D23:D24"/>
    <mergeCell ref="A14:J14"/>
    <mergeCell ref="E23:G23"/>
    <mergeCell ref="A33:B33"/>
    <mergeCell ref="A15:J15"/>
    <mergeCell ref="A17:J17"/>
    <mergeCell ref="A18:J18"/>
    <mergeCell ref="A20:J20"/>
    <mergeCell ref="A22:A24"/>
    <mergeCell ref="B22:B24"/>
  </mergeCells>
  <phoneticPr fontId="38" type="noConversion"/>
  <pageMargins left="1.0629921259842521" right="0.47244094488188981" top="0.47244094488188981" bottom="0.47244094488188981" header="0.19685039370078741" footer="0.19685039370078741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34"/>
  <sheetViews>
    <sheetView topLeftCell="A10" zoomScale="110" zoomScaleNormal="110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6.28515625" style="70" customWidth="1"/>
    <col min="4" max="5" width="9.28515625" style="70" customWidth="1"/>
    <col min="6" max="6" width="7.140625" style="70" customWidth="1"/>
    <col min="7" max="7" width="9.28515625" style="70" customWidth="1"/>
    <col min="8" max="8" width="7.5703125" style="70" customWidth="1"/>
    <col min="9" max="9" width="7.28515625" style="70" customWidth="1"/>
    <col min="10" max="10" width="13.7109375" style="70" customWidth="1"/>
    <col min="11" max="11" width="18" style="70" customWidth="1"/>
    <col min="12" max="12" width="16" style="70" bestFit="1" customWidth="1"/>
    <col min="13" max="13" width="16.7109375" style="70" customWidth="1"/>
    <col min="14" max="16384" width="9.140625" style="70"/>
  </cols>
  <sheetData>
    <row r="1" spans="1:10" s="91" customFormat="1" x14ac:dyDescent="0.25">
      <c r="C1" s="134"/>
      <c r="D1" s="134"/>
      <c r="J1" s="135" t="s">
        <v>441</v>
      </c>
    </row>
    <row r="2" spans="1:10" s="91" customFormat="1" ht="15.75" x14ac:dyDescent="0.25">
      <c r="A2" s="305" t="s">
        <v>467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s="91" customFormat="1" ht="15.75" x14ac:dyDescent="0.25">
      <c r="A3" s="305" t="s">
        <v>468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s="91" customFormat="1" ht="15.75" x14ac:dyDescent="0.25">
      <c r="A4" s="305" t="s">
        <v>469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s="91" customFormat="1" ht="15.75" x14ac:dyDescent="0.25">
      <c r="A5" s="305" t="s">
        <v>470</v>
      </c>
      <c r="B5" s="305"/>
      <c r="C5" s="305"/>
      <c r="D5" s="305"/>
      <c r="E5" s="305"/>
      <c r="F5" s="305"/>
      <c r="G5" s="305"/>
      <c r="H5" s="305"/>
      <c r="I5" s="305"/>
      <c r="J5" s="305"/>
    </row>
    <row r="6" spans="1:10" s="91" customFormat="1" ht="15.75" x14ac:dyDescent="0.25">
      <c r="A6" s="305" t="s">
        <v>471</v>
      </c>
      <c r="B6" s="305"/>
      <c r="C6" s="305"/>
      <c r="D6" s="305"/>
      <c r="E6" s="305"/>
      <c r="F6" s="305"/>
      <c r="G6" s="305"/>
      <c r="H6" s="305"/>
      <c r="I6" s="305"/>
      <c r="J6" s="305"/>
    </row>
    <row r="7" spans="1:10" s="91" customFormat="1" ht="15.75" x14ac:dyDescent="0.25">
      <c r="A7" s="305" t="s">
        <v>472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0" s="91" customFormat="1" ht="15.75" x14ac:dyDescent="0.25">
      <c r="A8" s="305" t="s">
        <v>473</v>
      </c>
      <c r="B8" s="305"/>
      <c r="C8" s="305"/>
      <c r="D8" s="305"/>
      <c r="E8" s="305"/>
      <c r="F8" s="305"/>
      <c r="G8" s="305"/>
      <c r="H8" s="305"/>
      <c r="I8" s="305"/>
      <c r="J8" s="305"/>
    </row>
    <row r="9" spans="1:10" s="91" customFormat="1" ht="15.75" x14ac:dyDescent="0.25">
      <c r="A9" s="305" t="s">
        <v>573</v>
      </c>
      <c r="B9" s="305"/>
      <c r="C9" s="305"/>
      <c r="D9" s="305"/>
      <c r="E9" s="305"/>
      <c r="F9" s="305"/>
      <c r="G9" s="305"/>
      <c r="H9" s="305"/>
      <c r="I9" s="305"/>
      <c r="J9" s="305"/>
    </row>
    <row r="10" spans="1:10" s="91" customFormat="1" ht="15.75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s="91" customFormat="1" ht="15.75" x14ac:dyDescent="0.25">
      <c r="A11" s="282" t="s">
        <v>464</v>
      </c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s="91" customFormat="1" ht="15.75" x14ac:dyDescent="0.25">
      <c r="A12" s="282" t="s">
        <v>465</v>
      </c>
      <c r="B12" s="282"/>
      <c r="C12" s="282"/>
      <c r="D12" s="282"/>
      <c r="E12" s="282"/>
      <c r="F12" s="282"/>
      <c r="G12" s="282"/>
      <c r="H12" s="282"/>
      <c r="I12" s="282"/>
      <c r="J12" s="282"/>
    </row>
    <row r="13" spans="1:10" s="91" customFormat="1" ht="15.75" x14ac:dyDescent="0.25">
      <c r="A13" s="282" t="s">
        <v>466</v>
      </c>
      <c r="B13" s="282"/>
      <c r="C13" s="282"/>
      <c r="D13" s="282"/>
      <c r="E13" s="282"/>
      <c r="F13" s="282"/>
      <c r="G13" s="282"/>
      <c r="H13" s="282"/>
      <c r="I13" s="282"/>
      <c r="J13" s="282"/>
    </row>
    <row r="14" spans="1:10" s="91" customFormat="1" ht="18.75" x14ac:dyDescent="0.3">
      <c r="A14" s="399" t="s">
        <v>749</v>
      </c>
      <c r="B14" s="399"/>
      <c r="C14" s="399"/>
      <c r="D14" s="399"/>
      <c r="E14" s="399"/>
      <c r="F14" s="399"/>
      <c r="G14" s="399"/>
      <c r="H14" s="399"/>
      <c r="I14" s="399"/>
      <c r="J14" s="399"/>
    </row>
    <row r="15" spans="1:10" s="91" customFormat="1" ht="15.75" x14ac:dyDescent="0.25">
      <c r="A15" s="282" t="s">
        <v>463</v>
      </c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s="91" customFormat="1" ht="9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3" s="91" customFormat="1" ht="15.75" x14ac:dyDescent="0.25">
      <c r="A17" s="304" t="s">
        <v>695</v>
      </c>
      <c r="B17" s="304"/>
      <c r="C17" s="304"/>
      <c r="D17" s="304"/>
      <c r="E17" s="304"/>
      <c r="F17" s="304"/>
      <c r="G17" s="304"/>
      <c r="H17" s="304"/>
      <c r="I17" s="304"/>
      <c r="J17" s="304"/>
    </row>
    <row r="18" spans="1:13" s="91" customFormat="1" ht="37.5" customHeight="1" x14ac:dyDescent="0.25">
      <c r="A18" s="301" t="s">
        <v>681</v>
      </c>
      <c r="B18" s="301"/>
      <c r="C18" s="301"/>
      <c r="D18" s="301"/>
      <c r="E18" s="301"/>
      <c r="F18" s="301"/>
      <c r="G18" s="301"/>
      <c r="H18" s="301"/>
      <c r="I18" s="301"/>
      <c r="J18" s="301"/>
    </row>
    <row r="19" spans="1:13" s="91" customFormat="1" ht="10.5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3" s="91" customFormat="1" ht="30.75" customHeight="1" x14ac:dyDescent="0.25">
      <c r="A20" s="301" t="s">
        <v>148</v>
      </c>
      <c r="B20" s="301"/>
      <c r="C20" s="301"/>
      <c r="D20" s="301"/>
      <c r="E20" s="301"/>
      <c r="F20" s="301"/>
      <c r="G20" s="301"/>
      <c r="H20" s="301"/>
      <c r="I20" s="301"/>
      <c r="J20" s="301"/>
    </row>
    <row r="21" spans="1:13" ht="10.5" customHeight="1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3" ht="30" customHeight="1" x14ac:dyDescent="0.25">
      <c r="A22" s="302" t="s">
        <v>442</v>
      </c>
      <c r="B22" s="302" t="s">
        <v>443</v>
      </c>
      <c r="C22" s="302" t="s">
        <v>444</v>
      </c>
      <c r="D22" s="302" t="s">
        <v>445</v>
      </c>
      <c r="E22" s="302"/>
      <c r="F22" s="302"/>
      <c r="G22" s="302"/>
      <c r="H22" s="302" t="s">
        <v>693</v>
      </c>
      <c r="I22" s="302" t="s">
        <v>446</v>
      </c>
      <c r="J22" s="302" t="s">
        <v>747</v>
      </c>
    </row>
    <row r="23" spans="1:13" ht="15.75" customHeight="1" x14ac:dyDescent="0.25">
      <c r="A23" s="302"/>
      <c r="B23" s="302"/>
      <c r="C23" s="302"/>
      <c r="D23" s="302" t="s">
        <v>405</v>
      </c>
      <c r="E23" s="302" t="s">
        <v>187</v>
      </c>
      <c r="F23" s="302"/>
      <c r="G23" s="302"/>
      <c r="H23" s="302"/>
      <c r="I23" s="302"/>
      <c r="J23" s="302"/>
    </row>
    <row r="24" spans="1:13" ht="136.5" customHeight="1" x14ac:dyDescent="0.25">
      <c r="A24" s="302"/>
      <c r="B24" s="302"/>
      <c r="C24" s="302"/>
      <c r="D24" s="302"/>
      <c r="E24" s="185" t="s">
        <v>447</v>
      </c>
      <c r="F24" s="185" t="s">
        <v>448</v>
      </c>
      <c r="G24" s="185" t="s">
        <v>449</v>
      </c>
      <c r="H24" s="302"/>
      <c r="I24" s="302"/>
      <c r="J24" s="302"/>
    </row>
    <row r="25" spans="1:13" x14ac:dyDescent="0.25">
      <c r="A25" s="185">
        <v>1</v>
      </c>
      <c r="B25" s="185">
        <v>2</v>
      </c>
      <c r="C25" s="185">
        <v>3</v>
      </c>
      <c r="D25" s="185">
        <v>4</v>
      </c>
      <c r="E25" s="185">
        <v>5</v>
      </c>
      <c r="F25" s="185">
        <v>6</v>
      </c>
      <c r="G25" s="185">
        <v>7</v>
      </c>
      <c r="H25" s="185">
        <v>8</v>
      </c>
      <c r="I25" s="185">
        <v>9</v>
      </c>
      <c r="J25" s="197">
        <v>10</v>
      </c>
    </row>
    <row r="26" spans="1:13" ht="44.25" customHeight="1" x14ac:dyDescent="0.25">
      <c r="A26" s="185">
        <v>1</v>
      </c>
      <c r="B26" s="185" t="s">
        <v>685</v>
      </c>
      <c r="C26" s="136">
        <v>3</v>
      </c>
      <c r="D26" s="136">
        <f xml:space="preserve"> E26+F26+G26</f>
        <v>36810.23914273984</v>
      </c>
      <c r="E26" s="136">
        <f>ROUND(103115/3,0)</f>
        <v>34372</v>
      </c>
      <c r="F26" s="136"/>
      <c r="G26" s="136">
        <v>2438.2391427398393</v>
      </c>
      <c r="H26" s="185">
        <v>80</v>
      </c>
      <c r="I26" s="185">
        <v>0.7</v>
      </c>
      <c r="J26" s="133">
        <f>ROUND(C26*D26*(1+H26/100+I26)*12,0)</f>
        <v>3312922</v>
      </c>
      <c r="M26" s="90"/>
    </row>
    <row r="27" spans="1:13" ht="45.75" customHeight="1" x14ac:dyDescent="0.25">
      <c r="A27" s="185">
        <v>2</v>
      </c>
      <c r="B27" s="185" t="s">
        <v>686</v>
      </c>
      <c r="C27" s="136">
        <v>1</v>
      </c>
      <c r="D27" s="136">
        <f t="shared" ref="D27:D32" si="0">E27+F27+G27</f>
        <v>7403.3266666666659</v>
      </c>
      <c r="E27" s="136">
        <v>5585</v>
      </c>
      <c r="F27" s="136"/>
      <c r="G27" s="136">
        <v>1818.3266666666664</v>
      </c>
      <c r="H27" s="185">
        <v>80</v>
      </c>
      <c r="I27" s="185">
        <v>0.7</v>
      </c>
      <c r="J27" s="133">
        <f t="shared" ref="J27:J32" si="1">ROUND(C27*D27*(1+H27/100+I27)*12,0)</f>
        <v>222100</v>
      </c>
      <c r="M27" s="90"/>
    </row>
    <row r="28" spans="1:13" ht="25.5" x14ac:dyDescent="0.25">
      <c r="A28" s="185">
        <v>3</v>
      </c>
      <c r="B28" s="137" t="s">
        <v>690</v>
      </c>
      <c r="C28" s="157">
        <v>38.700000000000003</v>
      </c>
      <c r="D28" s="157">
        <f t="shared" si="0"/>
        <v>12659.431601346107</v>
      </c>
      <c r="E28" s="157">
        <v>4402</v>
      </c>
      <c r="F28" s="157"/>
      <c r="G28" s="157">
        <v>8257.4316013461066</v>
      </c>
      <c r="H28" s="185">
        <v>80</v>
      </c>
      <c r="I28" s="185">
        <v>0.7</v>
      </c>
      <c r="J28" s="133">
        <f t="shared" si="1"/>
        <v>14697600</v>
      </c>
      <c r="M28" s="90"/>
    </row>
    <row r="29" spans="1:13" ht="25.5" x14ac:dyDescent="0.25">
      <c r="A29" s="185">
        <v>4</v>
      </c>
      <c r="B29" s="137" t="s">
        <v>691</v>
      </c>
      <c r="C29" s="136">
        <v>1</v>
      </c>
      <c r="D29" s="136">
        <f t="shared" si="0"/>
        <v>4738.8984424190439</v>
      </c>
      <c r="E29" s="136">
        <v>2950</v>
      </c>
      <c r="F29" s="136"/>
      <c r="G29" s="136">
        <v>1788.8984424190437</v>
      </c>
      <c r="H29" s="185">
        <v>80</v>
      </c>
      <c r="I29" s="185">
        <v>0.7</v>
      </c>
      <c r="J29" s="133">
        <f t="shared" si="1"/>
        <v>142167</v>
      </c>
      <c r="M29" s="90"/>
    </row>
    <row r="30" spans="1:13" ht="25.5" x14ac:dyDescent="0.25">
      <c r="A30" s="185">
        <v>5</v>
      </c>
      <c r="B30" s="137" t="s">
        <v>692</v>
      </c>
      <c r="C30" s="136">
        <v>3</v>
      </c>
      <c r="D30" s="136">
        <f t="shared" si="0"/>
        <v>7401.4155555555553</v>
      </c>
      <c r="E30" s="136">
        <v>5255</v>
      </c>
      <c r="F30" s="136">
        <v>0</v>
      </c>
      <c r="G30" s="136">
        <v>2146.4155555555549</v>
      </c>
      <c r="H30" s="185">
        <v>80</v>
      </c>
      <c r="I30" s="185">
        <v>0.7</v>
      </c>
      <c r="J30" s="133">
        <f t="shared" si="1"/>
        <v>666127</v>
      </c>
      <c r="M30" s="90"/>
    </row>
    <row r="31" spans="1:13" ht="31.5" customHeight="1" x14ac:dyDescent="0.25">
      <c r="A31" s="185">
        <v>6</v>
      </c>
      <c r="B31" s="137" t="s">
        <v>688</v>
      </c>
      <c r="C31" s="136">
        <v>3.5</v>
      </c>
      <c r="D31" s="136">
        <f t="shared" si="0"/>
        <v>7401.6371288833598</v>
      </c>
      <c r="E31" s="136">
        <f>ROUND(11503.5/3.5,0)</f>
        <v>3287</v>
      </c>
      <c r="F31" s="136"/>
      <c r="G31" s="136">
        <v>4114.6371288833598</v>
      </c>
      <c r="H31" s="185">
        <v>80</v>
      </c>
      <c r="I31" s="185">
        <v>0.7</v>
      </c>
      <c r="J31" s="133">
        <f t="shared" si="1"/>
        <v>777172</v>
      </c>
      <c r="M31" s="90"/>
    </row>
    <row r="32" spans="1:13" ht="30" customHeight="1" x14ac:dyDescent="0.25">
      <c r="A32" s="185">
        <v>7</v>
      </c>
      <c r="B32" s="137" t="s">
        <v>689</v>
      </c>
      <c r="C32" s="136">
        <v>23.75</v>
      </c>
      <c r="D32" s="136">
        <f t="shared" si="0"/>
        <v>7424.9999232239561</v>
      </c>
      <c r="E32" s="136">
        <f>ROUND(57385.5/23.75,0)</f>
        <v>2416</v>
      </c>
      <c r="F32" s="136">
        <f>ROUND(3982.81/23.75,2)</f>
        <v>167.7</v>
      </c>
      <c r="G32" s="136">
        <v>4841.2999232239563</v>
      </c>
      <c r="H32" s="185">
        <v>80</v>
      </c>
      <c r="I32" s="185">
        <v>0.7</v>
      </c>
      <c r="J32" s="133">
        <f t="shared" si="1"/>
        <v>5290312</v>
      </c>
      <c r="M32" s="90">
        <f>J32-L33</f>
        <v>5290312</v>
      </c>
    </row>
    <row r="33" spans="1:13" s="118" customFormat="1" x14ac:dyDescent="0.25">
      <c r="A33" s="300" t="s">
        <v>450</v>
      </c>
      <c r="B33" s="300"/>
      <c r="C33" s="138" t="s">
        <v>451</v>
      </c>
      <c r="D33" s="138"/>
      <c r="E33" s="138" t="s">
        <v>451</v>
      </c>
      <c r="F33" s="138" t="s">
        <v>451</v>
      </c>
      <c r="G33" s="138" t="s">
        <v>451</v>
      </c>
      <c r="H33" s="138" t="s">
        <v>451</v>
      </c>
      <c r="I33" s="138" t="s">
        <v>451</v>
      </c>
      <c r="J33" s="139">
        <f>SUM(J26:J32)</f>
        <v>25108400</v>
      </c>
      <c r="K33" s="159">
        <f>'р.3 2021'!H57</f>
        <v>25108400</v>
      </c>
      <c r="L33" s="160">
        <f>J33-K33</f>
        <v>0</v>
      </c>
      <c r="M33" s="160"/>
    </row>
    <row r="34" spans="1:13" ht="15.75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</row>
  </sheetData>
  <mergeCells count="26">
    <mergeCell ref="J22:J24"/>
    <mergeCell ref="D23:D24"/>
    <mergeCell ref="E23:G23"/>
    <mergeCell ref="A33:B33"/>
    <mergeCell ref="A15:J15"/>
    <mergeCell ref="A17:J17"/>
    <mergeCell ref="A18:J18"/>
    <mergeCell ref="A20:J20"/>
    <mergeCell ref="A22:A24"/>
    <mergeCell ref="B22:B24"/>
    <mergeCell ref="C22:C24"/>
    <mergeCell ref="D22:G22"/>
    <mergeCell ref="H22:H24"/>
    <mergeCell ref="I22:I24"/>
    <mergeCell ref="A14:J14"/>
    <mergeCell ref="A2:J2"/>
    <mergeCell ref="A3:J3"/>
    <mergeCell ref="A4:J4"/>
    <mergeCell ref="A5:J5"/>
    <mergeCell ref="A6:J6"/>
    <mergeCell ref="A7:J7"/>
    <mergeCell ref="A8:J8"/>
    <mergeCell ref="A9:J9"/>
    <mergeCell ref="A11:J11"/>
    <mergeCell ref="A12:J12"/>
    <mergeCell ref="A13:J13"/>
  </mergeCells>
  <pageMargins left="1.0629921259842521" right="0.47244094488188981" top="0.47244094488188981" bottom="0.47244094488188981" header="0.19685039370078741" footer="0.19685039370078741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54"/>
  <sheetViews>
    <sheetView zoomScale="110" zoomScaleNormal="110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6.28515625" style="70" customWidth="1"/>
    <col min="4" max="5" width="9.28515625" style="70" customWidth="1"/>
    <col min="6" max="6" width="5.5703125" style="70" customWidth="1"/>
    <col min="7" max="7" width="9.28515625" style="70" customWidth="1"/>
    <col min="8" max="8" width="7.5703125" style="70" customWidth="1"/>
    <col min="9" max="9" width="7.28515625" style="70" customWidth="1"/>
    <col min="10" max="10" width="9" style="70" customWidth="1"/>
    <col min="11" max="11" width="16" style="70" customWidth="1"/>
    <col min="12" max="12" width="13.28515625" style="70" bestFit="1" customWidth="1"/>
    <col min="13" max="13" width="12.140625" style="70" bestFit="1" customWidth="1"/>
    <col min="14" max="14" width="9.140625" style="70"/>
    <col min="15" max="15" width="12.140625" style="70" bestFit="1" customWidth="1"/>
    <col min="16" max="16" width="9.140625" style="70"/>
    <col min="17" max="17" width="12.140625" style="70" bestFit="1" customWidth="1"/>
    <col min="18" max="18" width="9.140625" style="70"/>
    <col min="19" max="19" width="13.28515625" style="70" bestFit="1" customWidth="1"/>
    <col min="20" max="20" width="9.140625" style="70"/>
    <col min="21" max="21" width="12.140625" style="70" bestFit="1" customWidth="1"/>
    <col min="22" max="16384" width="9.140625" style="70"/>
  </cols>
  <sheetData>
    <row r="1" spans="1:13" ht="16.5" customHeight="1" x14ac:dyDescent="0.25">
      <c r="A1" s="306" t="s">
        <v>79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3" ht="15.75" x14ac:dyDescent="0.25">
      <c r="A2" s="308" t="s">
        <v>459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3" ht="12.75" customHeight="1" x14ac:dyDescent="0.25">
      <c r="A3" s="308" t="s">
        <v>460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3" ht="30" customHeight="1" x14ac:dyDescent="0.25">
      <c r="A4" s="307" t="s">
        <v>696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3" ht="9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3" ht="63" x14ac:dyDescent="0.25">
      <c r="A6" s="187" t="s">
        <v>442</v>
      </c>
      <c r="B6" s="311" t="s">
        <v>454</v>
      </c>
      <c r="C6" s="311"/>
      <c r="D6" s="311" t="s">
        <v>455</v>
      </c>
      <c r="E6" s="311"/>
      <c r="F6" s="311"/>
      <c r="G6" s="187" t="s">
        <v>456</v>
      </c>
      <c r="H6" s="187" t="s">
        <v>697</v>
      </c>
      <c r="I6" s="311" t="s">
        <v>115</v>
      </c>
      <c r="J6" s="311"/>
      <c r="K6" s="187" t="s">
        <v>773</v>
      </c>
      <c r="L6" s="209"/>
    </row>
    <row r="7" spans="1:13" ht="15.75" customHeight="1" x14ac:dyDescent="0.25">
      <c r="A7" s="187">
        <v>1</v>
      </c>
      <c r="B7" s="311">
        <v>2</v>
      </c>
      <c r="C7" s="311"/>
      <c r="D7" s="311">
        <v>3</v>
      </c>
      <c r="E7" s="311"/>
      <c r="F7" s="311"/>
      <c r="G7" s="187">
        <v>4</v>
      </c>
      <c r="H7" s="187">
        <v>5</v>
      </c>
      <c r="I7" s="346">
        <v>6</v>
      </c>
      <c r="J7" s="347"/>
      <c r="K7" s="348"/>
    </row>
    <row r="8" spans="1:13" ht="42" customHeight="1" x14ac:dyDescent="0.25">
      <c r="A8" s="187">
        <v>1</v>
      </c>
      <c r="B8" s="309" t="s">
        <v>699</v>
      </c>
      <c r="C8" s="309"/>
      <c r="D8" s="310">
        <v>800</v>
      </c>
      <c r="E8" s="310"/>
      <c r="F8" s="310"/>
      <c r="G8" s="187">
        <v>2</v>
      </c>
      <c r="H8" s="187">
        <v>7</v>
      </c>
      <c r="I8" s="310">
        <f t="shared" ref="I8:I26" si="0">D8*G8*H8</f>
        <v>11200</v>
      </c>
      <c r="J8" s="310"/>
      <c r="K8" s="186">
        <f>I8</f>
        <v>11200</v>
      </c>
      <c r="L8" s="210"/>
    </row>
    <row r="9" spans="1:13" ht="61.5" customHeight="1" x14ac:dyDescent="0.25">
      <c r="A9" s="187">
        <v>2</v>
      </c>
      <c r="B9" s="312" t="s">
        <v>698</v>
      </c>
      <c r="C9" s="313"/>
      <c r="D9" s="310">
        <v>4000</v>
      </c>
      <c r="E9" s="310"/>
      <c r="F9" s="310"/>
      <c r="G9" s="187">
        <v>1</v>
      </c>
      <c r="H9" s="98">
        <v>1</v>
      </c>
      <c r="I9" s="310">
        <f>D9*G9*H9</f>
        <v>4000</v>
      </c>
      <c r="J9" s="310"/>
      <c r="K9" s="186">
        <f t="shared" ref="K9:K30" si="1">I9</f>
        <v>4000</v>
      </c>
    </row>
    <row r="10" spans="1:13" ht="58.5" customHeight="1" x14ac:dyDescent="0.25">
      <c r="A10" s="187">
        <v>3</v>
      </c>
      <c r="B10" s="309" t="s">
        <v>700</v>
      </c>
      <c r="C10" s="309"/>
      <c r="D10" s="310">
        <v>332</v>
      </c>
      <c r="E10" s="310"/>
      <c r="F10" s="310"/>
      <c r="G10" s="187">
        <v>1</v>
      </c>
      <c r="H10" s="187">
        <v>5</v>
      </c>
      <c r="I10" s="310">
        <f>D10*G10*H10</f>
        <v>1660</v>
      </c>
      <c r="J10" s="310"/>
      <c r="K10" s="186">
        <f t="shared" si="1"/>
        <v>1660</v>
      </c>
      <c r="L10" s="93">
        <f>I10-90</f>
        <v>1570</v>
      </c>
      <c r="M10" s="70">
        <f>L10/H10</f>
        <v>314</v>
      </c>
    </row>
    <row r="11" spans="1:13" ht="46.5" customHeight="1" x14ac:dyDescent="0.25">
      <c r="A11" s="187">
        <v>4</v>
      </c>
      <c r="B11" s="309" t="s">
        <v>702</v>
      </c>
      <c r="C11" s="309"/>
      <c r="D11" s="310">
        <v>800</v>
      </c>
      <c r="E11" s="310"/>
      <c r="F11" s="310"/>
      <c r="G11" s="187">
        <v>1</v>
      </c>
      <c r="H11" s="187">
        <v>2</v>
      </c>
      <c r="I11" s="310">
        <f t="shared" si="0"/>
        <v>1600</v>
      </c>
      <c r="J11" s="310"/>
      <c r="K11" s="186">
        <f t="shared" si="1"/>
        <v>1600</v>
      </c>
    </row>
    <row r="12" spans="1:13" ht="49.5" customHeight="1" x14ac:dyDescent="0.25">
      <c r="A12" s="187">
        <v>5</v>
      </c>
      <c r="B12" s="309" t="s">
        <v>703</v>
      </c>
      <c r="C12" s="309"/>
      <c r="D12" s="310">
        <v>800</v>
      </c>
      <c r="E12" s="310"/>
      <c r="F12" s="310"/>
      <c r="G12" s="187">
        <v>1</v>
      </c>
      <c r="H12" s="187">
        <v>5</v>
      </c>
      <c r="I12" s="310">
        <f t="shared" si="0"/>
        <v>4000</v>
      </c>
      <c r="J12" s="310"/>
      <c r="K12" s="186">
        <f t="shared" si="1"/>
        <v>4000</v>
      </c>
    </row>
    <row r="13" spans="1:13" ht="47.25" customHeight="1" x14ac:dyDescent="0.25">
      <c r="A13" s="187">
        <v>6</v>
      </c>
      <c r="B13" s="309" t="s">
        <v>704</v>
      </c>
      <c r="C13" s="309"/>
      <c r="D13" s="310">
        <v>800</v>
      </c>
      <c r="E13" s="310"/>
      <c r="F13" s="310"/>
      <c r="G13" s="187">
        <v>1</v>
      </c>
      <c r="H13" s="187">
        <v>5</v>
      </c>
      <c r="I13" s="310">
        <f t="shared" si="0"/>
        <v>4000</v>
      </c>
      <c r="J13" s="310"/>
      <c r="K13" s="186">
        <f t="shared" si="1"/>
        <v>4000</v>
      </c>
    </row>
    <row r="14" spans="1:13" ht="47.25" customHeight="1" x14ac:dyDescent="0.25">
      <c r="A14" s="187">
        <v>7</v>
      </c>
      <c r="B14" s="309" t="s">
        <v>150</v>
      </c>
      <c r="C14" s="309"/>
      <c r="D14" s="310">
        <v>12000</v>
      </c>
      <c r="E14" s="310"/>
      <c r="F14" s="310"/>
      <c r="G14" s="187">
        <v>1</v>
      </c>
      <c r="H14" s="98">
        <v>1</v>
      </c>
      <c r="I14" s="310">
        <f>D14*G14*H14</f>
        <v>12000</v>
      </c>
      <c r="J14" s="310"/>
      <c r="K14" s="186">
        <f t="shared" si="1"/>
        <v>12000</v>
      </c>
    </row>
    <row r="15" spans="1:13" ht="47.25" customHeight="1" x14ac:dyDescent="0.25">
      <c r="A15" s="187">
        <v>8</v>
      </c>
      <c r="B15" s="309" t="s">
        <v>151</v>
      </c>
      <c r="C15" s="309"/>
      <c r="D15" s="310">
        <v>800</v>
      </c>
      <c r="E15" s="310"/>
      <c r="F15" s="310"/>
      <c r="G15" s="187">
        <v>1</v>
      </c>
      <c r="H15" s="215">
        <v>3</v>
      </c>
      <c r="I15" s="310">
        <f>D15*G15*H15</f>
        <v>2400</v>
      </c>
      <c r="J15" s="310"/>
      <c r="K15" s="186">
        <f t="shared" si="1"/>
        <v>2400</v>
      </c>
    </row>
    <row r="16" spans="1:13" ht="47.25" customHeight="1" x14ac:dyDescent="0.25">
      <c r="A16" s="187">
        <v>9</v>
      </c>
      <c r="B16" s="314" t="s">
        <v>705</v>
      </c>
      <c r="C16" s="314"/>
      <c r="D16" s="310">
        <v>800</v>
      </c>
      <c r="E16" s="310"/>
      <c r="F16" s="310"/>
      <c r="G16" s="187">
        <v>1</v>
      </c>
      <c r="H16" s="187">
        <v>3</v>
      </c>
      <c r="I16" s="310">
        <f t="shared" si="0"/>
        <v>2400</v>
      </c>
      <c r="J16" s="310"/>
      <c r="K16" s="186">
        <f t="shared" si="1"/>
        <v>2400</v>
      </c>
    </row>
    <row r="17" spans="1:21" ht="60" customHeight="1" x14ac:dyDescent="0.25">
      <c r="A17" s="187">
        <v>10</v>
      </c>
      <c r="B17" s="314" t="s">
        <v>152</v>
      </c>
      <c r="C17" s="314"/>
      <c r="D17" s="310">
        <v>800</v>
      </c>
      <c r="E17" s="310"/>
      <c r="F17" s="310"/>
      <c r="G17" s="187">
        <v>1</v>
      </c>
      <c r="H17" s="187">
        <v>5</v>
      </c>
      <c r="I17" s="310">
        <f t="shared" si="0"/>
        <v>4000</v>
      </c>
      <c r="J17" s="310"/>
      <c r="K17" s="186">
        <f t="shared" si="1"/>
        <v>4000</v>
      </c>
    </row>
    <row r="18" spans="1:21" ht="60" customHeight="1" x14ac:dyDescent="0.25">
      <c r="A18" s="187">
        <v>11</v>
      </c>
      <c r="B18" s="314" t="s">
        <v>153</v>
      </c>
      <c r="C18" s="314"/>
      <c r="D18" s="310">
        <v>800</v>
      </c>
      <c r="E18" s="310"/>
      <c r="F18" s="310"/>
      <c r="G18" s="187">
        <v>2</v>
      </c>
      <c r="H18" s="187">
        <v>4</v>
      </c>
      <c r="I18" s="310">
        <f>D18*G18*H18</f>
        <v>6400</v>
      </c>
      <c r="J18" s="310"/>
      <c r="K18" s="186">
        <f t="shared" si="1"/>
        <v>6400</v>
      </c>
    </row>
    <row r="19" spans="1:21" ht="44.25" customHeight="1" x14ac:dyDescent="0.25">
      <c r="A19" s="187">
        <v>12</v>
      </c>
      <c r="B19" s="309" t="s">
        <v>706</v>
      </c>
      <c r="C19" s="309"/>
      <c r="D19" s="310">
        <v>800</v>
      </c>
      <c r="E19" s="310"/>
      <c r="F19" s="310"/>
      <c r="G19" s="187">
        <v>2</v>
      </c>
      <c r="H19" s="187">
        <v>3</v>
      </c>
      <c r="I19" s="310">
        <f t="shared" si="0"/>
        <v>4800</v>
      </c>
      <c r="J19" s="310"/>
      <c r="K19" s="186">
        <f t="shared" si="1"/>
        <v>4800</v>
      </c>
    </row>
    <row r="20" spans="1:21" ht="43.5" customHeight="1" x14ac:dyDescent="0.25">
      <c r="A20" s="187">
        <v>13</v>
      </c>
      <c r="B20" s="309" t="s">
        <v>707</v>
      </c>
      <c r="C20" s="309"/>
      <c r="D20" s="310">
        <v>800</v>
      </c>
      <c r="E20" s="310"/>
      <c r="F20" s="310"/>
      <c r="G20" s="187">
        <v>2</v>
      </c>
      <c r="H20" s="187">
        <v>5</v>
      </c>
      <c r="I20" s="310">
        <f t="shared" si="0"/>
        <v>8000</v>
      </c>
      <c r="J20" s="310"/>
      <c r="K20" s="186">
        <f t="shared" si="1"/>
        <v>8000</v>
      </c>
    </row>
    <row r="21" spans="1:21" ht="72" customHeight="1" x14ac:dyDescent="0.25">
      <c r="A21" s="187">
        <v>14</v>
      </c>
      <c r="B21" s="309" t="s">
        <v>708</v>
      </c>
      <c r="C21" s="309"/>
      <c r="D21" s="310">
        <v>700</v>
      </c>
      <c r="E21" s="310"/>
      <c r="F21" s="310"/>
      <c r="G21" s="99">
        <v>2</v>
      </c>
      <c r="H21" s="99">
        <v>5</v>
      </c>
      <c r="I21" s="310">
        <f t="shared" si="0"/>
        <v>7000</v>
      </c>
      <c r="J21" s="310"/>
      <c r="K21" s="186">
        <f t="shared" si="1"/>
        <v>7000</v>
      </c>
    </row>
    <row r="22" spans="1:21" ht="75.75" customHeight="1" x14ac:dyDescent="0.25">
      <c r="A22" s="187">
        <v>15</v>
      </c>
      <c r="B22" s="309" t="s">
        <v>154</v>
      </c>
      <c r="C22" s="309"/>
      <c r="D22" s="310">
        <v>1400</v>
      </c>
      <c r="E22" s="310"/>
      <c r="F22" s="310"/>
      <c r="G22" s="99">
        <v>2</v>
      </c>
      <c r="H22" s="100">
        <v>1</v>
      </c>
      <c r="I22" s="310">
        <f>D22*G22*H22</f>
        <v>2800</v>
      </c>
      <c r="J22" s="310"/>
      <c r="K22" s="186">
        <f t="shared" si="1"/>
        <v>2800</v>
      </c>
    </row>
    <row r="23" spans="1:21" ht="52.5" customHeight="1" x14ac:dyDescent="0.25">
      <c r="A23" s="187">
        <v>16</v>
      </c>
      <c r="B23" s="309" t="s">
        <v>155</v>
      </c>
      <c r="C23" s="309"/>
      <c r="D23" s="310">
        <v>800</v>
      </c>
      <c r="E23" s="310"/>
      <c r="F23" s="310"/>
      <c r="G23" s="99">
        <v>1</v>
      </c>
      <c r="H23" s="99">
        <v>3</v>
      </c>
      <c r="I23" s="310">
        <f>D23*G23*H23</f>
        <v>2400</v>
      </c>
      <c r="J23" s="310"/>
      <c r="K23" s="186">
        <f t="shared" si="1"/>
        <v>2400</v>
      </c>
    </row>
    <row r="24" spans="1:21" ht="75.75" customHeight="1" x14ac:dyDescent="0.25">
      <c r="A24" s="187">
        <v>17</v>
      </c>
      <c r="B24" s="309" t="s">
        <v>154</v>
      </c>
      <c r="C24" s="309"/>
      <c r="D24" s="310">
        <f>920*2</f>
        <v>1840</v>
      </c>
      <c r="E24" s="310"/>
      <c r="F24" s="310"/>
      <c r="G24" s="99">
        <v>1</v>
      </c>
      <c r="H24" s="100">
        <v>1</v>
      </c>
      <c r="I24" s="310">
        <f>D24*G24*H24</f>
        <v>1840</v>
      </c>
      <c r="J24" s="310"/>
      <c r="K24" s="186">
        <f t="shared" si="1"/>
        <v>1840</v>
      </c>
    </row>
    <row r="25" spans="1:21" ht="73.5" customHeight="1" x14ac:dyDescent="0.25">
      <c r="A25" s="187">
        <v>18</v>
      </c>
      <c r="B25" s="309" t="s">
        <v>157</v>
      </c>
      <c r="C25" s="309"/>
      <c r="D25" s="310">
        <f>3100*2</f>
        <v>6200</v>
      </c>
      <c r="E25" s="310"/>
      <c r="F25" s="310"/>
      <c r="G25" s="99">
        <v>2</v>
      </c>
      <c r="H25" s="100">
        <v>1</v>
      </c>
      <c r="I25" s="310">
        <f t="shared" si="0"/>
        <v>12400</v>
      </c>
      <c r="J25" s="310"/>
      <c r="K25" s="186">
        <f t="shared" si="1"/>
        <v>12400</v>
      </c>
    </row>
    <row r="26" spans="1:21" ht="75.75" customHeight="1" x14ac:dyDescent="0.25">
      <c r="A26" s="187">
        <v>19</v>
      </c>
      <c r="B26" s="309" t="s">
        <v>158</v>
      </c>
      <c r="C26" s="309"/>
      <c r="D26" s="310">
        <v>800</v>
      </c>
      <c r="E26" s="310"/>
      <c r="F26" s="310"/>
      <c r="G26" s="99">
        <v>2</v>
      </c>
      <c r="H26" s="99">
        <v>2</v>
      </c>
      <c r="I26" s="310">
        <f t="shared" si="0"/>
        <v>3200</v>
      </c>
      <c r="J26" s="310"/>
      <c r="K26" s="186">
        <f t="shared" si="1"/>
        <v>3200</v>
      </c>
    </row>
    <row r="27" spans="1:21" ht="60" customHeight="1" x14ac:dyDescent="0.25">
      <c r="A27" s="187">
        <v>20</v>
      </c>
      <c r="B27" s="309" t="s">
        <v>709</v>
      </c>
      <c r="C27" s="309"/>
      <c r="D27" s="310">
        <v>800</v>
      </c>
      <c r="E27" s="310"/>
      <c r="F27" s="310"/>
      <c r="G27" s="99">
        <v>1</v>
      </c>
      <c r="H27" s="99">
        <v>6</v>
      </c>
      <c r="I27" s="310">
        <f>D27*G27*H27</f>
        <v>4800</v>
      </c>
      <c r="J27" s="310"/>
      <c r="K27" s="186">
        <f t="shared" si="1"/>
        <v>4800</v>
      </c>
      <c r="O27" s="90"/>
    </row>
    <row r="28" spans="1:21" ht="60" customHeight="1" x14ac:dyDescent="0.25">
      <c r="A28" s="187">
        <v>21</v>
      </c>
      <c r="B28" s="309" t="s">
        <v>156</v>
      </c>
      <c r="C28" s="309"/>
      <c r="D28" s="310">
        <v>1200</v>
      </c>
      <c r="E28" s="310"/>
      <c r="F28" s="310"/>
      <c r="G28" s="99">
        <v>1</v>
      </c>
      <c r="H28" s="100">
        <v>1</v>
      </c>
      <c r="I28" s="310">
        <f>D28*G28*H28</f>
        <v>1200</v>
      </c>
      <c r="J28" s="310"/>
      <c r="K28" s="186">
        <f t="shared" si="1"/>
        <v>1200</v>
      </c>
      <c r="O28" s="90"/>
    </row>
    <row r="29" spans="1:21" ht="42.75" customHeight="1" x14ac:dyDescent="0.25">
      <c r="A29" s="187">
        <v>22</v>
      </c>
      <c r="B29" s="309" t="s">
        <v>710</v>
      </c>
      <c r="C29" s="309"/>
      <c r="D29" s="310">
        <f>2300*2</f>
        <v>4600</v>
      </c>
      <c r="E29" s="310"/>
      <c r="F29" s="310"/>
      <c r="G29" s="99">
        <v>1</v>
      </c>
      <c r="H29" s="100">
        <v>1</v>
      </c>
      <c r="I29" s="310">
        <f>D29*G29*H29</f>
        <v>4600</v>
      </c>
      <c r="J29" s="310"/>
      <c r="K29" s="186">
        <f t="shared" si="1"/>
        <v>4600</v>
      </c>
      <c r="O29" s="90"/>
    </row>
    <row r="30" spans="1:21" ht="47.25" customHeight="1" x14ac:dyDescent="0.25">
      <c r="A30" s="187">
        <v>23</v>
      </c>
      <c r="B30" s="309" t="s">
        <v>711</v>
      </c>
      <c r="C30" s="309"/>
      <c r="D30" s="310">
        <v>800</v>
      </c>
      <c r="E30" s="310"/>
      <c r="F30" s="310"/>
      <c r="G30" s="99">
        <v>1</v>
      </c>
      <c r="H30" s="99">
        <v>4</v>
      </c>
      <c r="I30" s="310">
        <f>D30*G30*H30</f>
        <v>3200</v>
      </c>
      <c r="J30" s="310"/>
      <c r="K30" s="186">
        <f t="shared" si="1"/>
        <v>3200</v>
      </c>
      <c r="L30" s="115" t="e">
        <f>I31-L31</f>
        <v>#REF!</v>
      </c>
      <c r="M30" s="115">
        <f>J31-M31</f>
        <v>-109900</v>
      </c>
      <c r="O30" s="90"/>
      <c r="Q30" s="90"/>
      <c r="S30" s="90"/>
      <c r="U30" s="90"/>
    </row>
    <row r="31" spans="1:21" ht="15.75" x14ac:dyDescent="0.25">
      <c r="A31" s="187"/>
      <c r="B31" s="311" t="s">
        <v>450</v>
      </c>
      <c r="C31" s="311"/>
      <c r="D31" s="311" t="s">
        <v>451</v>
      </c>
      <c r="E31" s="311"/>
      <c r="F31" s="311"/>
      <c r="G31" s="187" t="s">
        <v>451</v>
      </c>
      <c r="H31" s="187" t="s">
        <v>451</v>
      </c>
      <c r="I31" s="310">
        <f>SUM(I8:J30)</f>
        <v>109900</v>
      </c>
      <c r="J31" s="315"/>
      <c r="K31" s="211">
        <f>SUM(K8:K30)</f>
        <v>109900</v>
      </c>
      <c r="L31" s="93" t="e">
        <f>#REF!</f>
        <v>#REF!</v>
      </c>
      <c r="M31" s="70">
        <f>'р.3 2021'!K61</f>
        <v>109900</v>
      </c>
    </row>
    <row r="32" spans="1:21" ht="11.25" customHeight="1" x14ac:dyDescent="0.25"/>
    <row r="33" spans="1:13" ht="12.75" customHeight="1" x14ac:dyDescent="0.25"/>
    <row r="34" spans="1:13" ht="30" customHeight="1" x14ac:dyDescent="0.25">
      <c r="A34" s="307" t="s">
        <v>712</v>
      </c>
      <c r="B34" s="307"/>
      <c r="C34" s="307"/>
      <c r="D34" s="307"/>
      <c r="E34" s="307"/>
      <c r="F34" s="307"/>
      <c r="G34" s="307"/>
      <c r="H34" s="307"/>
      <c r="I34" s="307"/>
      <c r="J34" s="307"/>
    </row>
    <row r="35" spans="1:13" ht="10.5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3" ht="63" x14ac:dyDescent="0.25">
      <c r="A36" s="187" t="s">
        <v>442</v>
      </c>
      <c r="B36" s="311" t="s">
        <v>454</v>
      </c>
      <c r="C36" s="311"/>
      <c r="D36" s="311" t="s">
        <v>455</v>
      </c>
      <c r="E36" s="311"/>
      <c r="F36" s="311"/>
      <c r="G36" s="187" t="s">
        <v>456</v>
      </c>
      <c r="H36" s="187" t="s">
        <v>457</v>
      </c>
      <c r="I36" s="311" t="s">
        <v>458</v>
      </c>
      <c r="J36" s="311"/>
      <c r="K36" s="187" t="s">
        <v>773</v>
      </c>
    </row>
    <row r="37" spans="1:13" ht="21" customHeight="1" x14ac:dyDescent="0.25">
      <c r="A37" s="187">
        <v>1</v>
      </c>
      <c r="B37" s="311">
        <v>2</v>
      </c>
      <c r="C37" s="311"/>
      <c r="D37" s="311">
        <v>3</v>
      </c>
      <c r="E37" s="311"/>
      <c r="F37" s="311"/>
      <c r="G37" s="187">
        <v>4</v>
      </c>
      <c r="H37" s="187">
        <v>5</v>
      </c>
      <c r="I37" s="311">
        <v>6</v>
      </c>
      <c r="J37" s="311"/>
      <c r="K37" s="311"/>
    </row>
    <row r="38" spans="1:13" ht="47.25" customHeight="1" x14ac:dyDescent="0.25">
      <c r="A38" s="187">
        <v>1</v>
      </c>
      <c r="B38" s="309" t="s">
        <v>159</v>
      </c>
      <c r="C38" s="309"/>
      <c r="D38" s="315">
        <v>500</v>
      </c>
      <c r="E38" s="315"/>
      <c r="F38" s="315"/>
      <c r="G38" s="187">
        <v>2</v>
      </c>
      <c r="H38" s="187">
        <v>8</v>
      </c>
      <c r="I38" s="310">
        <f t="shared" ref="I38:I50" si="2">D38*G38*H38</f>
        <v>8000</v>
      </c>
      <c r="J38" s="310"/>
      <c r="K38" s="224">
        <f>I38</f>
        <v>8000</v>
      </c>
      <c r="M38" s="70">
        <f>8+3</f>
        <v>11</v>
      </c>
    </row>
    <row r="39" spans="1:13" ht="75" customHeight="1" x14ac:dyDescent="0.25">
      <c r="A39" s="187">
        <v>2</v>
      </c>
      <c r="B39" s="312" t="s">
        <v>160</v>
      </c>
      <c r="C39" s="313"/>
      <c r="D39" s="315">
        <v>500</v>
      </c>
      <c r="E39" s="315"/>
      <c r="F39" s="315"/>
      <c r="G39" s="187">
        <v>1</v>
      </c>
      <c r="H39" s="187">
        <v>6</v>
      </c>
      <c r="I39" s="310">
        <f t="shared" si="2"/>
        <v>3000</v>
      </c>
      <c r="J39" s="310"/>
      <c r="K39" s="224">
        <f t="shared" ref="K39:K51" si="3">I39</f>
        <v>3000</v>
      </c>
      <c r="M39" s="70">
        <f>M38/0.5/3</f>
        <v>7.333333333333333</v>
      </c>
    </row>
    <row r="40" spans="1:13" ht="43.5" customHeight="1" x14ac:dyDescent="0.25">
      <c r="A40" s="187">
        <v>3</v>
      </c>
      <c r="B40" s="309" t="s">
        <v>713</v>
      </c>
      <c r="C40" s="309"/>
      <c r="D40" s="315">
        <v>500</v>
      </c>
      <c r="E40" s="315"/>
      <c r="F40" s="315"/>
      <c r="G40" s="187">
        <v>1</v>
      </c>
      <c r="H40" s="187">
        <v>5</v>
      </c>
      <c r="I40" s="310">
        <f>D40*G40*H40</f>
        <v>2500</v>
      </c>
      <c r="J40" s="310"/>
      <c r="K40" s="224">
        <f t="shared" si="3"/>
        <v>2500</v>
      </c>
    </row>
    <row r="41" spans="1:13" ht="48.75" customHeight="1" x14ac:dyDescent="0.25">
      <c r="A41" s="187">
        <v>4</v>
      </c>
      <c r="B41" s="309" t="s">
        <v>165</v>
      </c>
      <c r="C41" s="309"/>
      <c r="D41" s="315">
        <v>500</v>
      </c>
      <c r="E41" s="315"/>
      <c r="F41" s="315"/>
      <c r="G41" s="187">
        <v>2</v>
      </c>
      <c r="H41" s="187">
        <v>6</v>
      </c>
      <c r="I41" s="310">
        <f t="shared" si="2"/>
        <v>6000</v>
      </c>
      <c r="J41" s="310"/>
      <c r="K41" s="224">
        <f t="shared" si="3"/>
        <v>6000</v>
      </c>
    </row>
    <row r="42" spans="1:13" ht="64.5" customHeight="1" x14ac:dyDescent="0.25">
      <c r="A42" s="187">
        <v>5</v>
      </c>
      <c r="B42" s="309" t="s">
        <v>166</v>
      </c>
      <c r="C42" s="309"/>
      <c r="D42" s="315">
        <v>500</v>
      </c>
      <c r="E42" s="315"/>
      <c r="F42" s="315"/>
      <c r="G42" s="187">
        <v>2</v>
      </c>
      <c r="H42" s="187">
        <v>7</v>
      </c>
      <c r="I42" s="310">
        <f>D42*G42*H42</f>
        <v>7000</v>
      </c>
      <c r="J42" s="310"/>
      <c r="K42" s="224">
        <f t="shared" si="3"/>
        <v>7000</v>
      </c>
    </row>
    <row r="43" spans="1:13" ht="46.5" customHeight="1" x14ac:dyDescent="0.25">
      <c r="A43" s="187">
        <v>6</v>
      </c>
      <c r="B43" s="309" t="s">
        <v>167</v>
      </c>
      <c r="C43" s="309"/>
      <c r="D43" s="315">
        <v>500</v>
      </c>
      <c r="E43" s="315"/>
      <c r="F43" s="315"/>
      <c r="G43" s="187">
        <v>3</v>
      </c>
      <c r="H43" s="187">
        <v>6</v>
      </c>
      <c r="I43" s="310">
        <f t="shared" si="2"/>
        <v>9000</v>
      </c>
      <c r="J43" s="310"/>
      <c r="K43" s="224">
        <f t="shared" si="3"/>
        <v>9000</v>
      </c>
    </row>
    <row r="44" spans="1:13" ht="46.5" customHeight="1" x14ac:dyDescent="0.25">
      <c r="A44" s="187">
        <v>7</v>
      </c>
      <c r="B44" s="314" t="s">
        <v>170</v>
      </c>
      <c r="C44" s="314"/>
      <c r="D44" s="315">
        <v>500</v>
      </c>
      <c r="E44" s="315"/>
      <c r="F44" s="315"/>
      <c r="G44" s="187">
        <v>1</v>
      </c>
      <c r="H44" s="187">
        <v>7</v>
      </c>
      <c r="I44" s="310">
        <f t="shared" si="2"/>
        <v>3500</v>
      </c>
      <c r="J44" s="310"/>
      <c r="K44" s="224">
        <f t="shared" si="3"/>
        <v>3500</v>
      </c>
    </row>
    <row r="45" spans="1:13" ht="44.25" customHeight="1" x14ac:dyDescent="0.25">
      <c r="A45" s="187">
        <v>8</v>
      </c>
      <c r="B45" s="309" t="s">
        <v>714</v>
      </c>
      <c r="C45" s="309"/>
      <c r="D45" s="315">
        <v>500</v>
      </c>
      <c r="E45" s="315"/>
      <c r="F45" s="315"/>
      <c r="G45" s="187">
        <v>2</v>
      </c>
      <c r="H45" s="187">
        <v>4</v>
      </c>
      <c r="I45" s="310">
        <f>D45*G45*H45</f>
        <v>4000</v>
      </c>
      <c r="J45" s="310"/>
      <c r="K45" s="224">
        <f t="shared" si="3"/>
        <v>4000</v>
      </c>
    </row>
    <row r="46" spans="1:13" ht="46.5" customHeight="1" x14ac:dyDescent="0.25">
      <c r="A46" s="187">
        <v>9</v>
      </c>
      <c r="B46" s="309" t="s">
        <v>164</v>
      </c>
      <c r="C46" s="309"/>
      <c r="D46" s="315">
        <v>500</v>
      </c>
      <c r="E46" s="315"/>
      <c r="F46" s="315"/>
      <c r="G46" s="187">
        <v>2</v>
      </c>
      <c r="H46" s="187">
        <v>6</v>
      </c>
      <c r="I46" s="310">
        <f>D46*G46*H46</f>
        <v>6000</v>
      </c>
      <c r="J46" s="310"/>
      <c r="K46" s="224">
        <f t="shared" si="3"/>
        <v>6000</v>
      </c>
    </row>
    <row r="47" spans="1:13" ht="73.5" customHeight="1" x14ac:dyDescent="0.25">
      <c r="A47" s="187">
        <v>10</v>
      </c>
      <c r="B47" s="309" t="s">
        <v>163</v>
      </c>
      <c r="C47" s="309"/>
      <c r="D47" s="315">
        <v>500</v>
      </c>
      <c r="E47" s="315"/>
      <c r="F47" s="315"/>
      <c r="G47" s="187">
        <v>2</v>
      </c>
      <c r="H47" s="187">
        <v>5</v>
      </c>
      <c r="I47" s="310">
        <f>D47*G47*H47</f>
        <v>5000</v>
      </c>
      <c r="J47" s="310"/>
      <c r="K47" s="224">
        <f t="shared" si="3"/>
        <v>5000</v>
      </c>
    </row>
    <row r="48" spans="1:13" ht="63.75" customHeight="1" x14ac:dyDescent="0.25">
      <c r="A48" s="187">
        <v>11</v>
      </c>
      <c r="B48" s="309" t="s">
        <v>162</v>
      </c>
      <c r="C48" s="309"/>
      <c r="D48" s="315">
        <v>500</v>
      </c>
      <c r="E48" s="315"/>
      <c r="F48" s="315"/>
      <c r="G48" s="187">
        <v>2</v>
      </c>
      <c r="H48" s="187">
        <v>8</v>
      </c>
      <c r="I48" s="310">
        <f>D48*G48*H48</f>
        <v>8000</v>
      </c>
      <c r="J48" s="310"/>
      <c r="K48" s="224">
        <f t="shared" si="3"/>
        <v>8000</v>
      </c>
    </row>
    <row r="49" spans="1:12" ht="78.75" customHeight="1" x14ac:dyDescent="0.25">
      <c r="A49" s="187">
        <v>12</v>
      </c>
      <c r="B49" s="309" t="s">
        <v>161</v>
      </c>
      <c r="C49" s="309"/>
      <c r="D49" s="315">
        <v>500</v>
      </c>
      <c r="E49" s="315"/>
      <c r="F49" s="315"/>
      <c r="G49" s="187">
        <v>2</v>
      </c>
      <c r="H49" s="187">
        <v>8</v>
      </c>
      <c r="I49" s="310">
        <f t="shared" si="2"/>
        <v>8000</v>
      </c>
      <c r="J49" s="310"/>
      <c r="K49" s="224">
        <f t="shared" si="3"/>
        <v>8000</v>
      </c>
    </row>
    <row r="50" spans="1:12" ht="67.5" customHeight="1" x14ac:dyDescent="0.25">
      <c r="A50" s="187">
        <v>13</v>
      </c>
      <c r="B50" s="309" t="s">
        <v>168</v>
      </c>
      <c r="C50" s="309"/>
      <c r="D50" s="315">
        <v>500</v>
      </c>
      <c r="E50" s="315"/>
      <c r="F50" s="315"/>
      <c r="G50" s="187">
        <v>2</v>
      </c>
      <c r="H50" s="187">
        <v>8</v>
      </c>
      <c r="I50" s="310">
        <f t="shared" si="2"/>
        <v>8000</v>
      </c>
      <c r="J50" s="310"/>
      <c r="K50" s="224">
        <f t="shared" si="3"/>
        <v>8000</v>
      </c>
      <c r="L50" s="93"/>
    </row>
    <row r="51" spans="1:12" ht="57" customHeight="1" x14ac:dyDescent="0.25">
      <c r="A51" s="187">
        <v>14</v>
      </c>
      <c r="B51" s="309" t="s">
        <v>171</v>
      </c>
      <c r="C51" s="309"/>
      <c r="D51" s="317">
        <v>500</v>
      </c>
      <c r="E51" s="318"/>
      <c r="F51" s="319"/>
      <c r="G51" s="187">
        <v>2</v>
      </c>
      <c r="H51" s="187">
        <v>7</v>
      </c>
      <c r="I51" s="310">
        <f>D51*G51*H51</f>
        <v>7000</v>
      </c>
      <c r="J51" s="310"/>
      <c r="K51" s="224">
        <f t="shared" si="3"/>
        <v>7000</v>
      </c>
    </row>
    <row r="52" spans="1:12" ht="15.75" x14ac:dyDescent="0.25">
      <c r="A52" s="316" t="s">
        <v>169</v>
      </c>
      <c r="B52" s="316"/>
      <c r="C52" s="316"/>
      <c r="D52" s="311" t="s">
        <v>451</v>
      </c>
      <c r="E52" s="311"/>
      <c r="F52" s="311"/>
      <c r="G52" s="187" t="s">
        <v>451</v>
      </c>
      <c r="H52" s="187" t="s">
        <v>451</v>
      </c>
      <c r="I52" s="310">
        <f>SUM(I38:J50)</f>
        <v>78000</v>
      </c>
      <c r="J52" s="310"/>
      <c r="K52" s="225">
        <f>SUM(K38:K51)</f>
        <v>85000</v>
      </c>
      <c r="L52" s="164">
        <f>'р.3 2019'!R66</f>
        <v>78500</v>
      </c>
    </row>
    <row r="54" spans="1:12" x14ac:dyDescent="0.25">
      <c r="J54" s="93"/>
    </row>
  </sheetData>
  <mergeCells count="134">
    <mergeCell ref="B47:C47"/>
    <mergeCell ref="D47:F47"/>
    <mergeCell ref="I47:J47"/>
    <mergeCell ref="B48:C48"/>
    <mergeCell ref="D48:F48"/>
    <mergeCell ref="I48:J48"/>
    <mergeCell ref="B45:C45"/>
    <mergeCell ref="D45:F45"/>
    <mergeCell ref="I45:J45"/>
    <mergeCell ref="B46:C46"/>
    <mergeCell ref="D46:F46"/>
    <mergeCell ref="I46:J46"/>
    <mergeCell ref="B51:C51"/>
    <mergeCell ref="D51:F51"/>
    <mergeCell ref="I51:J51"/>
    <mergeCell ref="A52:C52"/>
    <mergeCell ref="D52:F52"/>
    <mergeCell ref="I52:J52"/>
    <mergeCell ref="B49:C49"/>
    <mergeCell ref="D49:F49"/>
    <mergeCell ref="I49:J49"/>
    <mergeCell ref="B50:C50"/>
    <mergeCell ref="D50:F50"/>
    <mergeCell ref="I50:J50"/>
    <mergeCell ref="B43:C43"/>
    <mergeCell ref="D43:F43"/>
    <mergeCell ref="I43:J43"/>
    <mergeCell ref="B44:C44"/>
    <mergeCell ref="D44:F44"/>
    <mergeCell ref="I44:J44"/>
    <mergeCell ref="B41:C41"/>
    <mergeCell ref="D41:F41"/>
    <mergeCell ref="I41:J41"/>
    <mergeCell ref="B42:C42"/>
    <mergeCell ref="D42:F42"/>
    <mergeCell ref="I42:J42"/>
    <mergeCell ref="B39:C39"/>
    <mergeCell ref="D39:F39"/>
    <mergeCell ref="I39:J39"/>
    <mergeCell ref="B40:C40"/>
    <mergeCell ref="D40:F40"/>
    <mergeCell ref="I40:J40"/>
    <mergeCell ref="B37:C37"/>
    <mergeCell ref="D37:F37"/>
    <mergeCell ref="B38:C38"/>
    <mergeCell ref="D38:F38"/>
    <mergeCell ref="I38:J38"/>
    <mergeCell ref="I37:K37"/>
    <mergeCell ref="B31:C31"/>
    <mergeCell ref="D31:F31"/>
    <mergeCell ref="I31:J31"/>
    <mergeCell ref="A34:J34"/>
    <mergeCell ref="B36:C36"/>
    <mergeCell ref="D36:F36"/>
    <mergeCell ref="I36:J36"/>
    <mergeCell ref="B29:C29"/>
    <mergeCell ref="D29:F29"/>
    <mergeCell ref="I29:J29"/>
    <mergeCell ref="B30:C30"/>
    <mergeCell ref="D30:F30"/>
    <mergeCell ref="I30:J30"/>
    <mergeCell ref="B27:C27"/>
    <mergeCell ref="D27:F27"/>
    <mergeCell ref="I27:J27"/>
    <mergeCell ref="B28:C28"/>
    <mergeCell ref="D28:F28"/>
    <mergeCell ref="I28:J28"/>
    <mergeCell ref="B25:C25"/>
    <mergeCell ref="D25:F25"/>
    <mergeCell ref="I25:J25"/>
    <mergeCell ref="B26:C26"/>
    <mergeCell ref="D26:F26"/>
    <mergeCell ref="I26:J26"/>
    <mergeCell ref="B23:C23"/>
    <mergeCell ref="D23:F23"/>
    <mergeCell ref="I23:J23"/>
    <mergeCell ref="B24:C24"/>
    <mergeCell ref="D24:F24"/>
    <mergeCell ref="I24:J24"/>
    <mergeCell ref="B21:C21"/>
    <mergeCell ref="D21:F21"/>
    <mergeCell ref="I21:J21"/>
    <mergeCell ref="B22:C22"/>
    <mergeCell ref="D22:F22"/>
    <mergeCell ref="I22:J22"/>
    <mergeCell ref="B19:C19"/>
    <mergeCell ref="D19:F19"/>
    <mergeCell ref="I19:J19"/>
    <mergeCell ref="B20:C20"/>
    <mergeCell ref="D20:F20"/>
    <mergeCell ref="I20:J20"/>
    <mergeCell ref="B17:C17"/>
    <mergeCell ref="D17:F17"/>
    <mergeCell ref="I17:J17"/>
    <mergeCell ref="B18:C18"/>
    <mergeCell ref="D18:F18"/>
    <mergeCell ref="I18:J18"/>
    <mergeCell ref="B15:C15"/>
    <mergeCell ref="D15:F15"/>
    <mergeCell ref="I15:J15"/>
    <mergeCell ref="B16:C16"/>
    <mergeCell ref="D16:F16"/>
    <mergeCell ref="I16:J16"/>
    <mergeCell ref="B13:C13"/>
    <mergeCell ref="D13:F13"/>
    <mergeCell ref="I13:J13"/>
    <mergeCell ref="B14:C14"/>
    <mergeCell ref="D14:F14"/>
    <mergeCell ref="I14:J14"/>
    <mergeCell ref="B11:C11"/>
    <mergeCell ref="D11:F11"/>
    <mergeCell ref="I11:J11"/>
    <mergeCell ref="B12:C12"/>
    <mergeCell ref="D12:F12"/>
    <mergeCell ref="I12:J12"/>
    <mergeCell ref="B9:C9"/>
    <mergeCell ref="D9:F9"/>
    <mergeCell ref="I9:J9"/>
    <mergeCell ref="B10:C10"/>
    <mergeCell ref="D10:F10"/>
    <mergeCell ref="I10:J10"/>
    <mergeCell ref="B7:C7"/>
    <mergeCell ref="D7:F7"/>
    <mergeCell ref="B8:C8"/>
    <mergeCell ref="D8:F8"/>
    <mergeCell ref="I8:J8"/>
    <mergeCell ref="A1:J1"/>
    <mergeCell ref="A2:J2"/>
    <mergeCell ref="A3:J3"/>
    <mergeCell ref="A4:J4"/>
    <mergeCell ref="B6:C6"/>
    <mergeCell ref="D6:F6"/>
    <mergeCell ref="I6:J6"/>
    <mergeCell ref="I7:K7"/>
  </mergeCells>
  <pageMargins left="1.1417322834645669" right="0.47244094488188981" top="7.874015748031496E-2" bottom="0.47244094488188981" header="0.19685039370078741" footer="0.19685039370078741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48"/>
  <sheetViews>
    <sheetView topLeftCell="A16" workbookViewId="0">
      <selection activeCell="D133" sqref="D133"/>
    </sheetView>
  </sheetViews>
  <sheetFormatPr defaultRowHeight="15" x14ac:dyDescent="0.25"/>
  <cols>
    <col min="1" max="1" width="4.7109375" style="70" customWidth="1"/>
    <col min="2" max="3" width="17.7109375" style="70" customWidth="1"/>
    <col min="4" max="4" width="12.7109375" style="70" customWidth="1"/>
    <col min="5" max="5" width="15.140625" style="70" customWidth="1"/>
    <col min="6" max="6" width="13.7109375" style="70" customWidth="1"/>
    <col min="7" max="7" width="16.140625" style="70" customWidth="1"/>
    <col min="8" max="8" width="15.140625" style="70" customWidth="1"/>
    <col min="9" max="10" width="14.7109375" style="70" bestFit="1" customWidth="1"/>
    <col min="11" max="16384" width="9.140625" style="70"/>
  </cols>
  <sheetData>
    <row r="1" spans="1:8" ht="15" hidden="1" customHeight="1" x14ac:dyDescent="0.25">
      <c r="A1" s="308" t="s">
        <v>477</v>
      </c>
      <c r="B1" s="308"/>
      <c r="C1" s="308"/>
      <c r="D1" s="308"/>
      <c r="E1" s="308"/>
      <c r="F1" s="308"/>
      <c r="G1" s="188"/>
    </row>
    <row r="2" spans="1:8" ht="15" hidden="1" customHeight="1" x14ac:dyDescent="0.25">
      <c r="A2" s="308" t="s">
        <v>478</v>
      </c>
      <c r="B2" s="308"/>
      <c r="C2" s="308"/>
      <c r="D2" s="308"/>
      <c r="E2" s="308"/>
      <c r="F2" s="308"/>
      <c r="G2" s="188"/>
    </row>
    <row r="3" spans="1:8" ht="7.5" hidden="1" customHeight="1" x14ac:dyDescent="0.25">
      <c r="A3" s="91"/>
      <c r="B3" s="91"/>
      <c r="C3" s="91"/>
      <c r="D3" s="91"/>
      <c r="E3" s="91"/>
      <c r="F3" s="91"/>
      <c r="G3" s="91"/>
    </row>
    <row r="4" spans="1:8" ht="60" hidden="1" x14ac:dyDescent="0.25">
      <c r="A4" s="130" t="s">
        <v>442</v>
      </c>
      <c r="B4" s="130" t="s">
        <v>454</v>
      </c>
      <c r="C4" s="130" t="s">
        <v>474</v>
      </c>
      <c r="D4" s="130" t="s">
        <v>475</v>
      </c>
      <c r="E4" s="130" t="s">
        <v>476</v>
      </c>
      <c r="F4" s="130" t="s">
        <v>458</v>
      </c>
      <c r="G4" s="141"/>
    </row>
    <row r="5" spans="1:8" ht="15" hidden="1" customHeight="1" x14ac:dyDescent="0.25">
      <c r="A5" s="130">
        <v>1</v>
      </c>
      <c r="B5" s="130">
        <v>2</v>
      </c>
      <c r="C5" s="130">
        <v>3</v>
      </c>
      <c r="D5" s="130">
        <v>4</v>
      </c>
      <c r="E5" s="130">
        <v>5</v>
      </c>
      <c r="F5" s="130">
        <v>6</v>
      </c>
      <c r="G5" s="141"/>
    </row>
    <row r="6" spans="1:8" hidden="1" x14ac:dyDescent="0.25">
      <c r="A6" s="130"/>
      <c r="B6" s="130"/>
      <c r="C6" s="130"/>
      <c r="D6" s="130"/>
      <c r="E6" s="130"/>
      <c r="F6" s="130"/>
      <c r="G6" s="141"/>
    </row>
    <row r="7" spans="1:8" hidden="1" x14ac:dyDescent="0.25">
      <c r="A7" s="130"/>
      <c r="B7" s="130"/>
      <c r="C7" s="130"/>
      <c r="D7" s="130"/>
      <c r="E7" s="130"/>
      <c r="F7" s="130"/>
      <c r="G7" s="141"/>
    </row>
    <row r="8" spans="1:8" hidden="1" x14ac:dyDescent="0.25">
      <c r="A8" s="130"/>
      <c r="B8" s="130" t="s">
        <v>450</v>
      </c>
      <c r="C8" s="130" t="s">
        <v>451</v>
      </c>
      <c r="D8" s="130" t="s">
        <v>451</v>
      </c>
      <c r="E8" s="130" t="s">
        <v>451</v>
      </c>
      <c r="F8" s="130"/>
      <c r="G8" s="141"/>
    </row>
    <row r="9" spans="1:8" ht="8.25" hidden="1" customHeight="1" x14ac:dyDescent="0.25">
      <c r="A9" s="91"/>
      <c r="B9" s="91"/>
      <c r="C9" s="91"/>
      <c r="D9" s="91"/>
      <c r="E9" s="91"/>
      <c r="F9" s="91"/>
      <c r="G9" s="91"/>
    </row>
    <row r="10" spans="1:8" ht="27.75" customHeight="1" x14ac:dyDescent="0.25">
      <c r="A10" s="341" t="s">
        <v>81</v>
      </c>
      <c r="B10" s="342"/>
      <c r="C10" s="342"/>
      <c r="D10" s="342"/>
      <c r="E10" s="342"/>
      <c r="F10" s="342"/>
      <c r="G10" s="201"/>
    </row>
    <row r="11" spans="1:8" ht="15" customHeight="1" x14ac:dyDescent="0.25">
      <c r="A11" s="308" t="s">
        <v>479</v>
      </c>
      <c r="B11" s="308"/>
      <c r="C11" s="308"/>
      <c r="D11" s="308"/>
      <c r="E11" s="308"/>
      <c r="F11" s="308"/>
      <c r="G11" s="188"/>
    </row>
    <row r="12" spans="1:8" ht="15.75" x14ac:dyDescent="0.25">
      <c r="A12" s="308" t="s">
        <v>480</v>
      </c>
      <c r="B12" s="308"/>
      <c r="C12" s="308"/>
      <c r="D12" s="308"/>
      <c r="E12" s="308"/>
      <c r="F12" s="308"/>
      <c r="G12" s="188"/>
    </row>
    <row r="13" spans="1:8" ht="15.75" x14ac:dyDescent="0.25">
      <c r="A13" s="308" t="s">
        <v>481</v>
      </c>
      <c r="B13" s="308"/>
      <c r="C13" s="308"/>
      <c r="D13" s="308"/>
      <c r="E13" s="308"/>
      <c r="F13" s="308"/>
      <c r="G13" s="188"/>
    </row>
    <row r="14" spans="1:8" ht="15.75" x14ac:dyDescent="0.25">
      <c r="A14" s="308" t="s">
        <v>482</v>
      </c>
      <c r="B14" s="308"/>
      <c r="C14" s="308"/>
      <c r="D14" s="308"/>
      <c r="E14" s="308"/>
      <c r="F14" s="308"/>
      <c r="G14" s="188"/>
    </row>
    <row r="15" spans="1:8" ht="15.75" x14ac:dyDescent="0.25">
      <c r="A15" s="333" t="s">
        <v>694</v>
      </c>
      <c r="B15" s="333"/>
      <c r="C15" s="333"/>
      <c r="D15" s="333"/>
      <c r="E15" s="333"/>
      <c r="F15" s="333"/>
      <c r="G15" s="212"/>
    </row>
    <row r="16" spans="1:8" ht="75.75" customHeight="1" x14ac:dyDescent="0.25">
      <c r="A16" s="130" t="s">
        <v>442</v>
      </c>
      <c r="B16" s="302" t="s">
        <v>483</v>
      </c>
      <c r="C16" s="302"/>
      <c r="D16" s="302"/>
      <c r="E16" s="130" t="s">
        <v>750</v>
      </c>
      <c r="F16" s="130" t="s">
        <v>116</v>
      </c>
      <c r="G16" s="185" t="s">
        <v>751</v>
      </c>
      <c r="H16" s="130" t="s">
        <v>752</v>
      </c>
    </row>
    <row r="17" spans="1:10" x14ac:dyDescent="0.25">
      <c r="A17" s="130">
        <v>1</v>
      </c>
      <c r="B17" s="302">
        <v>2</v>
      </c>
      <c r="C17" s="302"/>
      <c r="D17" s="302"/>
      <c r="E17" s="130">
        <v>3</v>
      </c>
      <c r="F17" s="191">
        <v>4</v>
      </c>
      <c r="G17" s="185">
        <v>5</v>
      </c>
      <c r="H17" s="185">
        <v>6</v>
      </c>
    </row>
    <row r="18" spans="1:10" ht="27" customHeight="1" x14ac:dyDescent="0.25">
      <c r="A18" s="130">
        <v>1</v>
      </c>
      <c r="B18" s="324" t="s">
        <v>486</v>
      </c>
      <c r="C18" s="325"/>
      <c r="D18" s="326"/>
      <c r="E18" s="130" t="s">
        <v>451</v>
      </c>
      <c r="F18" s="133">
        <f>F19+F21+F22</f>
        <v>5495410</v>
      </c>
      <c r="G18" s="185" t="s">
        <v>451</v>
      </c>
      <c r="H18" s="133">
        <f>H19+H21+H22</f>
        <v>5523900</v>
      </c>
    </row>
    <row r="19" spans="1:10" s="92" customFormat="1" ht="12" customHeight="1" x14ac:dyDescent="0.25">
      <c r="A19" s="334" t="s">
        <v>487</v>
      </c>
      <c r="B19" s="335" t="s">
        <v>502</v>
      </c>
      <c r="C19" s="336"/>
      <c r="D19" s="337"/>
      <c r="E19" s="321">
        <f>'расч. 211(2000,2002)19'!J33</f>
        <v>24978900</v>
      </c>
      <c r="F19" s="321">
        <f>CEILING(E19*22%,10)+50</f>
        <v>5495410</v>
      </c>
      <c r="G19" s="321">
        <f>'расч. 211(2000,2002)20'!J33</f>
        <v>25108400</v>
      </c>
      <c r="H19" s="321">
        <f>CEILING(G19*22%,10)+50</f>
        <v>5523900</v>
      </c>
    </row>
    <row r="20" spans="1:10" s="92" customFormat="1" ht="15" customHeight="1" x14ac:dyDescent="0.25">
      <c r="A20" s="322"/>
      <c r="B20" s="338"/>
      <c r="C20" s="339"/>
      <c r="D20" s="340"/>
      <c r="E20" s="323"/>
      <c r="F20" s="323"/>
      <c r="G20" s="323"/>
      <c r="H20" s="323"/>
    </row>
    <row r="21" spans="1:10" ht="15" customHeight="1" x14ac:dyDescent="0.25">
      <c r="A21" s="130" t="s">
        <v>488</v>
      </c>
      <c r="B21" s="320" t="s">
        <v>489</v>
      </c>
      <c r="C21" s="320"/>
      <c r="D21" s="320"/>
      <c r="E21" s="130"/>
      <c r="F21" s="130">
        <f>ROUND(E21*10%,2)</f>
        <v>0</v>
      </c>
      <c r="G21" s="185"/>
      <c r="H21" s="133">
        <f>G21</f>
        <v>0</v>
      </c>
    </row>
    <row r="22" spans="1:10" ht="43.5" customHeight="1" x14ac:dyDescent="0.25">
      <c r="A22" s="130" t="s">
        <v>490</v>
      </c>
      <c r="B22" s="320" t="s">
        <v>491</v>
      </c>
      <c r="C22" s="320"/>
      <c r="D22" s="320"/>
      <c r="E22" s="130"/>
      <c r="F22" s="130"/>
      <c r="G22" s="185"/>
      <c r="H22" s="133"/>
    </row>
    <row r="23" spans="1:10" ht="30.75" customHeight="1" x14ac:dyDescent="0.25">
      <c r="A23" s="130">
        <v>2</v>
      </c>
      <c r="B23" s="324" t="s">
        <v>492</v>
      </c>
      <c r="C23" s="325"/>
      <c r="D23" s="326"/>
      <c r="E23" s="130" t="s">
        <v>451</v>
      </c>
      <c r="F23" s="133">
        <f>F24+F26+F27+F28+F29</f>
        <v>774350</v>
      </c>
      <c r="G23" s="185" t="s">
        <v>451</v>
      </c>
      <c r="H23" s="133">
        <f>H24+H26+H27+H28+H29</f>
        <v>778370</v>
      </c>
    </row>
    <row r="24" spans="1:10" ht="12.75" customHeight="1" x14ac:dyDescent="0.25">
      <c r="A24" s="302" t="s">
        <v>493</v>
      </c>
      <c r="B24" s="327" t="s">
        <v>503</v>
      </c>
      <c r="C24" s="328"/>
      <c r="D24" s="329"/>
      <c r="E24" s="321">
        <f>E19</f>
        <v>24978900</v>
      </c>
      <c r="F24" s="321">
        <f>CEILING(E24*2.9%,10)</f>
        <v>724390</v>
      </c>
      <c r="G24" s="321">
        <f>G19</f>
        <v>25108400</v>
      </c>
      <c r="H24" s="321">
        <f>CEILING(G24*2.9%,10)</f>
        <v>728150</v>
      </c>
    </row>
    <row r="25" spans="1:10" ht="40.5" customHeight="1" x14ac:dyDescent="0.25">
      <c r="A25" s="302"/>
      <c r="B25" s="330"/>
      <c r="C25" s="331"/>
      <c r="D25" s="332"/>
      <c r="E25" s="322"/>
      <c r="F25" s="323"/>
      <c r="G25" s="322"/>
      <c r="H25" s="323"/>
    </row>
    <row r="26" spans="1:10" ht="35.1" customHeight="1" x14ac:dyDescent="0.25">
      <c r="A26" s="130" t="s">
        <v>494</v>
      </c>
      <c r="B26" s="320" t="s">
        <v>495</v>
      </c>
      <c r="C26" s="320"/>
      <c r="D26" s="320"/>
      <c r="E26" s="130"/>
      <c r="F26" s="133">
        <f>ROUND(E26*0%,2)</f>
        <v>0</v>
      </c>
      <c r="G26" s="185"/>
      <c r="H26" s="133">
        <f>G26</f>
        <v>0</v>
      </c>
    </row>
    <row r="27" spans="1:10" ht="42" customHeight="1" x14ac:dyDescent="0.25">
      <c r="A27" s="130" t="s">
        <v>496</v>
      </c>
      <c r="B27" s="320" t="s">
        <v>497</v>
      </c>
      <c r="C27" s="320"/>
      <c r="D27" s="320"/>
      <c r="E27" s="133">
        <f>E24</f>
        <v>24978900</v>
      </c>
      <c r="F27" s="133">
        <f>CEILING(E27*0.2%,10)</f>
        <v>49960</v>
      </c>
      <c r="G27" s="133">
        <f>G24</f>
        <v>25108400</v>
      </c>
      <c r="H27" s="133">
        <f>CEILING(G27*0.2%,10)</f>
        <v>50220</v>
      </c>
    </row>
    <row r="28" spans="1:10" ht="42.75" customHeight="1" x14ac:dyDescent="0.25">
      <c r="A28" s="130" t="s">
        <v>498</v>
      </c>
      <c r="B28" s="320" t="s">
        <v>499</v>
      </c>
      <c r="C28" s="320"/>
      <c r="D28" s="320"/>
      <c r="E28" s="130"/>
      <c r="F28" s="133"/>
      <c r="G28" s="185"/>
      <c r="H28" s="133">
        <f>G28</f>
        <v>0</v>
      </c>
    </row>
    <row r="29" spans="1:10" ht="41.25" customHeight="1" x14ac:dyDescent="0.25">
      <c r="A29" s="130" t="s">
        <v>500</v>
      </c>
      <c r="B29" s="320" t="s">
        <v>499</v>
      </c>
      <c r="C29" s="320"/>
      <c r="D29" s="320"/>
      <c r="E29" s="130"/>
      <c r="F29" s="133"/>
      <c r="G29" s="185"/>
      <c r="H29" s="133">
        <f>G29</f>
        <v>0</v>
      </c>
    </row>
    <row r="30" spans="1:10" ht="27.75" customHeight="1" x14ac:dyDescent="0.25">
      <c r="A30" s="130">
        <v>3</v>
      </c>
      <c r="B30" s="320" t="s">
        <v>501</v>
      </c>
      <c r="C30" s="320"/>
      <c r="D30" s="320"/>
      <c r="E30" s="133">
        <f>E27</f>
        <v>24978900</v>
      </c>
      <c r="F30" s="133">
        <f>CEILING(E30*5.1%,10)-90</f>
        <v>1273840</v>
      </c>
      <c r="G30" s="133">
        <f>G27</f>
        <v>25108400</v>
      </c>
      <c r="H30" s="133">
        <f>CEILING(G30*5.1%,10)-100</f>
        <v>1280430</v>
      </c>
      <c r="I30" s="93" t="e">
        <f>F31-I31</f>
        <v>#REF!</v>
      </c>
      <c r="J30" s="93">
        <f>H31-J31</f>
        <v>0</v>
      </c>
    </row>
    <row r="31" spans="1:10" ht="15" customHeight="1" x14ac:dyDescent="0.25">
      <c r="A31" s="130"/>
      <c r="B31" s="320" t="s">
        <v>450</v>
      </c>
      <c r="C31" s="320"/>
      <c r="D31" s="320"/>
      <c r="E31" s="130" t="s">
        <v>451</v>
      </c>
      <c r="F31" s="133">
        <f>F23+F18+F30</f>
        <v>7543600</v>
      </c>
      <c r="G31" s="185" t="s">
        <v>451</v>
      </c>
      <c r="H31" s="133">
        <f>H23+H18+H30</f>
        <v>7582700</v>
      </c>
      <c r="I31" s="93" t="e">
        <f>#REF!</f>
        <v>#REF!</v>
      </c>
      <c r="J31" s="115">
        <f>'р.3 2021'!H67</f>
        <v>7582700</v>
      </c>
    </row>
    <row r="32" spans="1:10" ht="6.75" customHeight="1" x14ac:dyDescent="0.25">
      <c r="A32" s="91"/>
      <c r="B32" s="91"/>
      <c r="C32" s="91"/>
      <c r="D32" s="91"/>
      <c r="E32" s="91"/>
      <c r="F32" s="91"/>
      <c r="G32" s="91"/>
    </row>
    <row r="33" spans="1:10" ht="10.5" customHeight="1" x14ac:dyDescent="0.25">
      <c r="A33" s="91" t="s">
        <v>504</v>
      </c>
      <c r="B33" s="91"/>
      <c r="C33" s="91"/>
      <c r="D33" s="91"/>
      <c r="E33" s="91"/>
      <c r="F33" s="91"/>
      <c r="G33" s="91"/>
    </row>
    <row r="34" spans="1:10" ht="15" customHeight="1" x14ac:dyDescent="0.25">
      <c r="A34" s="91" t="s">
        <v>505</v>
      </c>
      <c r="B34" s="91"/>
      <c r="C34" s="91"/>
      <c r="D34" s="91"/>
      <c r="E34" s="91"/>
      <c r="F34" s="91"/>
      <c r="G34" s="91"/>
    </row>
    <row r="35" spans="1:10" ht="15" customHeight="1" x14ac:dyDescent="0.25">
      <c r="A35" s="91" t="s">
        <v>506</v>
      </c>
      <c r="B35" s="91"/>
      <c r="C35" s="91"/>
      <c r="D35" s="91"/>
      <c r="E35" s="91"/>
      <c r="F35" s="91"/>
      <c r="G35" s="91"/>
    </row>
    <row r="36" spans="1:10" ht="15" customHeight="1" x14ac:dyDescent="0.25">
      <c r="A36" s="91" t="s">
        <v>507</v>
      </c>
      <c r="B36" s="91"/>
      <c r="C36" s="91"/>
      <c r="D36" s="91"/>
      <c r="E36" s="91"/>
      <c r="F36" s="91"/>
      <c r="G36" s="91"/>
    </row>
    <row r="37" spans="1:10" ht="15" customHeight="1" x14ac:dyDescent="0.25">
      <c r="A37" s="91" t="s">
        <v>508</v>
      </c>
      <c r="B37" s="91"/>
      <c r="C37" s="91"/>
      <c r="D37" s="91"/>
      <c r="E37" s="91"/>
      <c r="F37" s="91"/>
      <c r="G37" s="91"/>
    </row>
    <row r="38" spans="1:10" ht="15" customHeight="1" x14ac:dyDescent="0.25">
      <c r="A38" s="91" t="s">
        <v>509</v>
      </c>
      <c r="B38" s="91"/>
      <c r="C38" s="91"/>
      <c r="D38" s="91"/>
      <c r="E38" s="91"/>
      <c r="F38" s="91"/>
      <c r="G38" s="91"/>
    </row>
    <row r="39" spans="1:10" ht="15" customHeight="1" x14ac:dyDescent="0.25">
      <c r="A39" s="91" t="s">
        <v>510</v>
      </c>
      <c r="B39" s="91"/>
      <c r="C39" s="91"/>
      <c r="D39" s="91"/>
      <c r="E39" s="91"/>
      <c r="F39" s="91"/>
      <c r="G39" s="91"/>
    </row>
    <row r="40" spans="1:10" ht="54.75" customHeight="1" x14ac:dyDescent="0.25"/>
    <row r="41" spans="1:10" ht="15.75" x14ac:dyDescent="0.25">
      <c r="A41" s="401" t="s">
        <v>79</v>
      </c>
      <c r="B41" s="401"/>
      <c r="C41" s="401"/>
      <c r="D41" s="401"/>
      <c r="E41" s="401"/>
    </row>
    <row r="42" spans="1:10" ht="15.75" x14ac:dyDescent="0.25">
      <c r="A42" s="402" t="s">
        <v>10</v>
      </c>
      <c r="B42" s="402"/>
      <c r="C42" s="402"/>
      <c r="D42" s="402"/>
      <c r="E42" s="402"/>
    </row>
    <row r="43" spans="1:10" ht="15.75" customHeight="1" x14ac:dyDescent="0.25">
      <c r="A43" s="102" t="s">
        <v>3</v>
      </c>
      <c r="B43" s="403" t="s">
        <v>117</v>
      </c>
      <c r="C43" s="350" t="s">
        <v>26</v>
      </c>
      <c r="D43" s="110"/>
      <c r="E43" s="110"/>
    </row>
    <row r="44" spans="1:10" ht="15.75" x14ac:dyDescent="0.25">
      <c r="A44" s="103" t="s">
        <v>5</v>
      </c>
      <c r="B44" s="404"/>
      <c r="C44" s="351"/>
      <c r="D44" s="112" t="s">
        <v>603</v>
      </c>
      <c r="E44" s="112" t="s">
        <v>603</v>
      </c>
    </row>
    <row r="45" spans="1:10" ht="15.75" x14ac:dyDescent="0.25">
      <c r="A45" s="104" t="s">
        <v>7</v>
      </c>
      <c r="B45" s="405"/>
      <c r="C45" s="352"/>
      <c r="D45" s="111" t="s">
        <v>774</v>
      </c>
      <c r="E45" s="111" t="s">
        <v>775</v>
      </c>
    </row>
    <row r="46" spans="1:10" ht="15.75" x14ac:dyDescent="0.25">
      <c r="A46" s="106">
        <v>1</v>
      </c>
      <c r="B46" s="107">
        <v>2</v>
      </c>
      <c r="C46" s="106">
        <v>3</v>
      </c>
      <c r="D46" s="400">
        <v>5</v>
      </c>
      <c r="E46" s="400"/>
    </row>
    <row r="47" spans="1:10" ht="15.75" x14ac:dyDescent="0.25">
      <c r="A47" s="104">
        <v>1</v>
      </c>
      <c r="B47" s="166">
        <v>13</v>
      </c>
      <c r="C47" s="108">
        <v>5</v>
      </c>
      <c r="D47" s="113">
        <v>517600</v>
      </c>
      <c r="E47" s="113">
        <v>517600</v>
      </c>
    </row>
    <row r="48" spans="1:10" ht="15.75" x14ac:dyDescent="0.25">
      <c r="A48" s="105"/>
      <c r="B48" s="109" t="s">
        <v>9</v>
      </c>
      <c r="C48" s="105"/>
      <c r="D48" s="165">
        <f>SUM(D47:D47)</f>
        <v>517600</v>
      </c>
      <c r="E48" s="165">
        <f>SUM(E47:E47)</f>
        <v>517600</v>
      </c>
      <c r="I48" s="70" t="e">
        <f>#REF!</f>
        <v>#REF!</v>
      </c>
      <c r="J48" s="70">
        <f>'р.3 2021'!L58</f>
        <v>517600</v>
      </c>
    </row>
  </sheetData>
  <mergeCells count="37">
    <mergeCell ref="A14:F14"/>
    <mergeCell ref="A19:A20"/>
    <mergeCell ref="E19:E20"/>
    <mergeCell ref="D46:E46"/>
    <mergeCell ref="H24:H25"/>
    <mergeCell ref="A41:E41"/>
    <mergeCell ref="A42:E42"/>
    <mergeCell ref="C43:C45"/>
    <mergeCell ref="B43:B45"/>
    <mergeCell ref="A24:A25"/>
    <mergeCell ref="E24:E25"/>
    <mergeCell ref="F24:F25"/>
    <mergeCell ref="B31:D31"/>
    <mergeCell ref="G19:G20"/>
    <mergeCell ref="G24:G25"/>
    <mergeCell ref="B21:D21"/>
    <mergeCell ref="A1:F1"/>
    <mergeCell ref="A2:F2"/>
    <mergeCell ref="A11:F11"/>
    <mergeCell ref="A12:F12"/>
    <mergeCell ref="A13:F13"/>
    <mergeCell ref="A10:F10"/>
    <mergeCell ref="B22:D22"/>
    <mergeCell ref="B23:D23"/>
    <mergeCell ref="F19:F20"/>
    <mergeCell ref="A15:F15"/>
    <mergeCell ref="H19:H20"/>
    <mergeCell ref="B16:D16"/>
    <mergeCell ref="B17:D17"/>
    <mergeCell ref="B18:D18"/>
    <mergeCell ref="B19:D20"/>
    <mergeCell ref="B30:D30"/>
    <mergeCell ref="B24:D25"/>
    <mergeCell ref="B26:D26"/>
    <mergeCell ref="B27:D27"/>
    <mergeCell ref="B28:D28"/>
    <mergeCell ref="B29:D29"/>
  </mergeCells>
  <phoneticPr fontId="38" type="noConversion"/>
  <hyperlinks>
    <hyperlink ref="B28" location="P1250" display="P1250"/>
    <hyperlink ref="B29" location="P1250" display="P1250"/>
    <hyperlink ref="A35" r:id="rId1" display="consultantplus://offline/ref=160D23074E6765C55EF84811A89119E895463C6394CC40BB38A7EE3CC53AJ"/>
  </hyperlinks>
  <pageMargins left="1.0629921259842521" right="0.47244094488188981" top="0.39370078740157483" bottom="0.39370078740157483" header="0.19685039370078741" footer="0.19685039370078741"/>
  <pageSetup paperSize="9" scale="75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8"/>
  <sheetViews>
    <sheetView zoomScale="98" zoomScaleNormal="98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17" style="70" customWidth="1"/>
    <col min="3" max="3" width="28.28515625" style="70" customWidth="1"/>
    <col min="4" max="5" width="9.28515625" style="70" customWidth="1"/>
    <col min="6" max="6" width="5.5703125" style="70" customWidth="1"/>
    <col min="7" max="7" width="9.28515625" style="70" customWidth="1"/>
    <col min="8" max="8" width="7.5703125" style="70" customWidth="1"/>
    <col min="9" max="9" width="16.42578125" style="70" customWidth="1"/>
    <col min="10" max="10" width="14.42578125" style="70" customWidth="1"/>
    <col min="11" max="12" width="13.28515625" style="70" bestFit="1" customWidth="1"/>
    <col min="13" max="16384" width="9.140625" style="70"/>
  </cols>
  <sheetData>
    <row r="1" spans="1:12" ht="15.75" x14ac:dyDescent="0.25">
      <c r="A1" s="354" t="s">
        <v>79</v>
      </c>
      <c r="B1" s="354"/>
      <c r="C1" s="354"/>
      <c r="D1" s="354"/>
      <c r="E1" s="354"/>
      <c r="F1" s="354"/>
      <c r="G1" s="354"/>
      <c r="H1" s="354"/>
      <c r="I1" s="354"/>
    </row>
    <row r="2" spans="1:12" ht="53.25" customHeight="1" x14ac:dyDescent="0.25">
      <c r="A2" s="307" t="s">
        <v>754</v>
      </c>
      <c r="B2" s="307"/>
      <c r="C2" s="307"/>
      <c r="D2" s="307"/>
      <c r="E2" s="307"/>
      <c r="F2" s="307"/>
      <c r="G2" s="307"/>
      <c r="H2" s="307"/>
      <c r="I2" s="307"/>
    </row>
    <row r="3" spans="1:12" ht="15.75" x14ac:dyDescent="0.25">
      <c r="A3" s="308" t="s">
        <v>11</v>
      </c>
      <c r="B3" s="308"/>
      <c r="C3" s="308"/>
      <c r="D3" s="308"/>
      <c r="E3" s="308"/>
      <c r="F3" s="308"/>
      <c r="G3" s="308"/>
      <c r="H3" s="308"/>
      <c r="I3" s="308"/>
    </row>
    <row r="4" spans="1:12" ht="77.25" customHeight="1" x14ac:dyDescent="0.25">
      <c r="A4" s="187" t="s">
        <v>442</v>
      </c>
      <c r="B4" s="311" t="s">
        <v>454</v>
      </c>
      <c r="C4" s="311"/>
      <c r="D4" s="311" t="s">
        <v>455</v>
      </c>
      <c r="E4" s="311"/>
      <c r="F4" s="311"/>
      <c r="G4" s="187" t="s">
        <v>13</v>
      </c>
      <c r="H4" s="187" t="s">
        <v>697</v>
      </c>
      <c r="I4" s="187" t="s">
        <v>753</v>
      </c>
    </row>
    <row r="5" spans="1:12" ht="15.75" x14ac:dyDescent="0.25">
      <c r="A5" s="187">
        <v>1</v>
      </c>
      <c r="B5" s="311">
        <v>2</v>
      </c>
      <c r="C5" s="311"/>
      <c r="D5" s="311">
        <v>3</v>
      </c>
      <c r="E5" s="311"/>
      <c r="F5" s="311"/>
      <c r="G5" s="187">
        <v>4</v>
      </c>
      <c r="H5" s="187">
        <v>5</v>
      </c>
      <c r="I5" s="223">
        <v>6</v>
      </c>
    </row>
    <row r="6" spans="1:12" ht="32.25" customHeight="1" x14ac:dyDescent="0.25">
      <c r="A6" s="187">
        <v>1</v>
      </c>
      <c r="B6" s="309" t="s">
        <v>699</v>
      </c>
      <c r="C6" s="309"/>
      <c r="D6" s="310">
        <v>994.30379746835445</v>
      </c>
      <c r="E6" s="310"/>
      <c r="F6" s="310"/>
      <c r="G6" s="187">
        <v>79</v>
      </c>
      <c r="H6" s="187">
        <v>6</v>
      </c>
      <c r="I6" s="186">
        <f t="shared" ref="I6:I8" si="0">D6*G6*H6</f>
        <v>471300</v>
      </c>
      <c r="L6" s="93" t="e">
        <f>I6+J8</f>
        <v>#REF!</v>
      </c>
    </row>
    <row r="7" spans="1:12" ht="33.75" customHeight="1" x14ac:dyDescent="0.25">
      <c r="A7" s="187">
        <v>2</v>
      </c>
      <c r="B7" s="312" t="s">
        <v>12</v>
      </c>
      <c r="C7" s="313"/>
      <c r="D7" s="357">
        <v>200</v>
      </c>
      <c r="E7" s="358"/>
      <c r="F7" s="359"/>
      <c r="G7" s="187">
        <v>79</v>
      </c>
      <c r="H7" s="187">
        <v>8</v>
      </c>
      <c r="I7" s="186">
        <f>D7*G7*H7</f>
        <v>126400</v>
      </c>
    </row>
    <row r="8" spans="1:12" ht="33.75" customHeight="1" x14ac:dyDescent="0.25">
      <c r="A8" s="187">
        <v>3</v>
      </c>
      <c r="B8" s="312" t="s">
        <v>698</v>
      </c>
      <c r="C8" s="313"/>
      <c r="D8" s="310">
        <v>3500</v>
      </c>
      <c r="E8" s="310"/>
      <c r="F8" s="310"/>
      <c r="G8" s="187">
        <v>79</v>
      </c>
      <c r="H8" s="98">
        <v>1</v>
      </c>
      <c r="I8" s="186">
        <f t="shared" si="0"/>
        <v>276500</v>
      </c>
      <c r="J8" s="93" t="e">
        <f>J9-I9</f>
        <v>#REF!</v>
      </c>
      <c r="K8" s="93" t="e">
        <f>J18-#REF!</f>
        <v>#REF!</v>
      </c>
    </row>
    <row r="9" spans="1:12" ht="15.75" x14ac:dyDescent="0.25">
      <c r="A9" s="187"/>
      <c r="B9" s="311" t="s">
        <v>450</v>
      </c>
      <c r="C9" s="311"/>
      <c r="D9" s="311" t="s">
        <v>451</v>
      </c>
      <c r="E9" s="311"/>
      <c r="F9" s="311"/>
      <c r="G9" s="187" t="s">
        <v>451</v>
      </c>
      <c r="H9" s="187" t="s">
        <v>451</v>
      </c>
      <c r="I9" s="186">
        <f>SUM(I6:I8)</f>
        <v>874200</v>
      </c>
      <c r="J9" s="93" t="e">
        <f>#REF!</f>
        <v>#REF!</v>
      </c>
    </row>
    <row r="11" spans="1:12" ht="37.5" customHeight="1" x14ac:dyDescent="0.25">
      <c r="A11" s="307" t="s">
        <v>755</v>
      </c>
      <c r="B11" s="307"/>
      <c r="C11" s="307"/>
      <c r="D11" s="307"/>
      <c r="E11" s="307"/>
      <c r="F11" s="307"/>
      <c r="G11" s="307"/>
      <c r="H11" s="307"/>
      <c r="I11" s="307"/>
    </row>
    <row r="12" spans="1:12" ht="15.75" x14ac:dyDescent="0.25">
      <c r="A12" s="308" t="s">
        <v>11</v>
      </c>
      <c r="B12" s="308"/>
      <c r="C12" s="308"/>
      <c r="D12" s="308"/>
      <c r="E12" s="308"/>
      <c r="F12" s="308"/>
      <c r="G12" s="308"/>
      <c r="H12" s="308"/>
      <c r="I12" s="308"/>
    </row>
    <row r="13" spans="1:12" ht="78.75" x14ac:dyDescent="0.25">
      <c r="A13" s="187" t="s">
        <v>442</v>
      </c>
      <c r="B13" s="311" t="s">
        <v>454</v>
      </c>
      <c r="C13" s="311"/>
      <c r="D13" s="311" t="s">
        <v>455</v>
      </c>
      <c r="E13" s="311"/>
      <c r="F13" s="311"/>
      <c r="G13" s="187" t="s">
        <v>13</v>
      </c>
      <c r="H13" s="187" t="s">
        <v>697</v>
      </c>
      <c r="I13" s="187" t="s">
        <v>753</v>
      </c>
    </row>
    <row r="14" spans="1:12" ht="15.75" x14ac:dyDescent="0.25">
      <c r="A14" s="187">
        <v>1</v>
      </c>
      <c r="B14" s="311">
        <v>2</v>
      </c>
      <c r="C14" s="311"/>
      <c r="D14" s="311">
        <v>3</v>
      </c>
      <c r="E14" s="311"/>
      <c r="F14" s="311"/>
      <c r="G14" s="187">
        <v>4</v>
      </c>
      <c r="H14" s="187">
        <v>5</v>
      </c>
      <c r="I14" s="223">
        <v>6</v>
      </c>
    </row>
    <row r="15" spans="1:12" ht="15.75" x14ac:dyDescent="0.25">
      <c r="A15" s="187">
        <v>1</v>
      </c>
      <c r="B15" s="309" t="s">
        <v>699</v>
      </c>
      <c r="C15" s="309"/>
      <c r="D15" s="310">
        <v>1129.746835443038</v>
      </c>
      <c r="E15" s="310"/>
      <c r="F15" s="310"/>
      <c r="G15" s="187">
        <v>79</v>
      </c>
      <c r="H15" s="187">
        <v>6</v>
      </c>
      <c r="I15" s="186">
        <f t="shared" ref="I15" si="1">D15*G15*H15</f>
        <v>535500</v>
      </c>
    </row>
    <row r="16" spans="1:12" ht="15.75" x14ac:dyDescent="0.25">
      <c r="A16" s="187">
        <v>2</v>
      </c>
      <c r="B16" s="312" t="s">
        <v>12</v>
      </c>
      <c r="C16" s="313"/>
      <c r="D16" s="357">
        <v>200</v>
      </c>
      <c r="E16" s="358"/>
      <c r="F16" s="359"/>
      <c r="G16" s="187">
        <v>79</v>
      </c>
      <c r="H16" s="187">
        <v>8</v>
      </c>
      <c r="I16" s="186">
        <f>D16*G16*H16</f>
        <v>126400</v>
      </c>
    </row>
    <row r="17" spans="1:12" ht="15.75" x14ac:dyDescent="0.25">
      <c r="A17" s="187">
        <v>3</v>
      </c>
      <c r="B17" s="312" t="s">
        <v>698</v>
      </c>
      <c r="C17" s="313"/>
      <c r="D17" s="310">
        <v>4100</v>
      </c>
      <c r="E17" s="310"/>
      <c r="F17" s="310"/>
      <c r="G17" s="187">
        <v>79</v>
      </c>
      <c r="H17" s="98">
        <v>1</v>
      </c>
      <c r="I17" s="186">
        <f t="shared" ref="I17" si="2">D17*G17*H17</f>
        <v>323900</v>
      </c>
      <c r="J17" s="90">
        <f>J18-I18</f>
        <v>0</v>
      </c>
      <c r="L17" s="90"/>
    </row>
    <row r="18" spans="1:12" ht="15.75" x14ac:dyDescent="0.25">
      <c r="A18" s="187"/>
      <c r="B18" s="311" t="s">
        <v>450</v>
      </c>
      <c r="C18" s="311"/>
      <c r="D18" s="311" t="s">
        <v>451</v>
      </c>
      <c r="E18" s="311"/>
      <c r="F18" s="311"/>
      <c r="G18" s="187" t="s">
        <v>451</v>
      </c>
      <c r="H18" s="187" t="s">
        <v>451</v>
      </c>
      <c r="I18" s="186">
        <f>SUM(I15:I17)</f>
        <v>985800</v>
      </c>
      <c r="J18" s="115">
        <f>'р.3 2021'!Q66</f>
        <v>985800</v>
      </c>
    </row>
  </sheetData>
  <mergeCells count="29">
    <mergeCell ref="A11:I11"/>
    <mergeCell ref="A12:I12"/>
    <mergeCell ref="B9:C9"/>
    <mergeCell ref="D9:F9"/>
    <mergeCell ref="B17:C17"/>
    <mergeCell ref="D17:F17"/>
    <mergeCell ref="B13:C13"/>
    <mergeCell ref="D13:F13"/>
    <mergeCell ref="B14:C14"/>
    <mergeCell ref="D14:F14"/>
    <mergeCell ref="B18:C18"/>
    <mergeCell ref="D18:F18"/>
    <mergeCell ref="B15:C15"/>
    <mergeCell ref="D15:F15"/>
    <mergeCell ref="B16:C16"/>
    <mergeCell ref="D16:F16"/>
    <mergeCell ref="B7:C7"/>
    <mergeCell ref="D7:F7"/>
    <mergeCell ref="B8:C8"/>
    <mergeCell ref="D8:F8"/>
    <mergeCell ref="B5:C5"/>
    <mergeCell ref="D5:F5"/>
    <mergeCell ref="B6:C6"/>
    <mergeCell ref="D6:F6"/>
    <mergeCell ref="A1:I1"/>
    <mergeCell ref="A2:I2"/>
    <mergeCell ref="A3:I3"/>
    <mergeCell ref="B4:C4"/>
    <mergeCell ref="D4:F4"/>
  </mergeCells>
  <pageMargins left="0.94488188976377963" right="0.47244094488188981" top="0.27559055118110237" bottom="0.4724409448818898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32" zoomScale="130" zoomScaleNormal="130" workbookViewId="0">
      <selection activeCell="B15" sqref="B15:B76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276" t="s">
        <v>568</v>
      </c>
      <c r="B1" s="276"/>
    </row>
    <row r="2" spans="1:2" s="39" customFormat="1" ht="25.5" customHeight="1" x14ac:dyDescent="0.25">
      <c r="A2" s="275" t="s">
        <v>570</v>
      </c>
      <c r="B2" s="275"/>
    </row>
    <row r="3" spans="1:2" s="39" customFormat="1" ht="26.25" customHeight="1" x14ac:dyDescent="0.25">
      <c r="A3" s="277" t="s">
        <v>676</v>
      </c>
      <c r="B3" s="277"/>
    </row>
    <row r="4" spans="1:2" s="39" customFormat="1" ht="33" customHeight="1" x14ac:dyDescent="0.25">
      <c r="A4" s="275" t="s">
        <v>569</v>
      </c>
      <c r="B4" s="275"/>
    </row>
    <row r="5" spans="1:2" s="39" customFormat="1" x14ac:dyDescent="0.25">
      <c r="A5" s="277" t="s">
        <v>677</v>
      </c>
      <c r="B5" s="277"/>
    </row>
    <row r="6" spans="1:2" s="39" customFormat="1" ht="42.6" customHeight="1" x14ac:dyDescent="0.25">
      <c r="A6" s="275" t="s">
        <v>571</v>
      </c>
      <c r="B6" s="275"/>
    </row>
    <row r="7" spans="1:2" s="39" customFormat="1" x14ac:dyDescent="0.25">
      <c r="A7" s="40" t="s">
        <v>678</v>
      </c>
      <c r="B7" s="40"/>
    </row>
    <row r="8" spans="1:2" x14ac:dyDescent="0.25">
      <c r="A8" s="279"/>
      <c r="B8" s="279"/>
    </row>
    <row r="9" spans="1:2" ht="15.75" x14ac:dyDescent="0.25">
      <c r="A9" s="280" t="s">
        <v>269</v>
      </c>
      <c r="B9" s="280"/>
    </row>
    <row r="10" spans="1:2" ht="15.75" x14ac:dyDescent="0.25">
      <c r="A10" s="280" t="s">
        <v>267</v>
      </c>
      <c r="B10" s="280"/>
    </row>
    <row r="11" spans="1:2" ht="15.75" x14ac:dyDescent="0.25">
      <c r="A11" s="281" t="s">
        <v>147</v>
      </c>
      <c r="B11" s="281"/>
    </row>
    <row r="12" spans="1:2" ht="15.75" x14ac:dyDescent="0.25">
      <c r="A12" s="281" t="s">
        <v>268</v>
      </c>
      <c r="B12" s="281"/>
    </row>
    <row r="13" spans="1:2" ht="15.75" x14ac:dyDescent="0.25">
      <c r="A13" s="278"/>
      <c r="B13" s="278"/>
    </row>
    <row r="14" spans="1:2" s="2" customFormat="1" ht="34.5" customHeight="1" x14ac:dyDescent="0.25">
      <c r="A14" s="3" t="s">
        <v>183</v>
      </c>
      <c r="B14" s="6" t="s">
        <v>572</v>
      </c>
    </row>
    <row r="15" spans="1:2" s="2" customFormat="1" ht="20.100000000000001" customHeight="1" x14ac:dyDescent="0.25">
      <c r="A15" s="8" t="s">
        <v>184</v>
      </c>
      <c r="B15" s="7"/>
    </row>
    <row r="16" spans="1:2" s="2" customFormat="1" ht="20.100000000000001" customHeight="1" x14ac:dyDescent="0.25">
      <c r="A16" s="8" t="s">
        <v>185</v>
      </c>
      <c r="B16" s="7"/>
    </row>
    <row r="17" spans="1:2" s="2" customFormat="1" ht="39.950000000000003" hidden="1" customHeight="1" x14ac:dyDescent="0.25">
      <c r="A17" s="8" t="s">
        <v>186</v>
      </c>
      <c r="B17" s="7"/>
    </row>
    <row r="18" spans="1:2" s="2" customFormat="1" ht="20.100000000000001" hidden="1" customHeight="1" x14ac:dyDescent="0.25">
      <c r="A18" s="8" t="s">
        <v>187</v>
      </c>
      <c r="B18" s="7"/>
    </row>
    <row r="19" spans="1:2" s="2" customFormat="1" ht="39.950000000000003" hidden="1" customHeight="1" x14ac:dyDescent="0.25">
      <c r="A19" s="8" t="s">
        <v>188</v>
      </c>
      <c r="B19" s="7"/>
    </row>
    <row r="20" spans="1:2" s="2" customFormat="1" ht="60" hidden="1" customHeight="1" x14ac:dyDescent="0.25">
      <c r="A20" s="8" t="s">
        <v>189</v>
      </c>
      <c r="B20" s="7"/>
    </row>
    <row r="21" spans="1:2" s="2" customFormat="1" ht="60" hidden="1" customHeight="1" x14ac:dyDescent="0.25">
      <c r="A21" s="8" t="s">
        <v>190</v>
      </c>
      <c r="B21" s="7"/>
    </row>
    <row r="22" spans="1:2" s="2" customFormat="1" ht="39.950000000000003" hidden="1" customHeight="1" x14ac:dyDescent="0.25">
      <c r="A22" s="8" t="s">
        <v>191</v>
      </c>
      <c r="B22" s="7"/>
    </row>
    <row r="23" spans="1:2" s="2" customFormat="1" ht="39.950000000000003" customHeight="1" x14ac:dyDescent="0.25">
      <c r="A23" s="8" t="s">
        <v>192</v>
      </c>
      <c r="B23" s="7"/>
    </row>
    <row r="24" spans="1:2" s="2" customFormat="1" ht="20.100000000000001" customHeight="1" x14ac:dyDescent="0.25">
      <c r="A24" s="8" t="s">
        <v>187</v>
      </c>
      <c r="B24" s="7"/>
    </row>
    <row r="25" spans="1:2" s="2" customFormat="1" ht="39.950000000000003" customHeight="1" x14ac:dyDescent="0.25">
      <c r="A25" s="8" t="s">
        <v>193</v>
      </c>
      <c r="B25" s="7"/>
    </row>
    <row r="26" spans="1:2" s="2" customFormat="1" ht="39.950000000000003" customHeight="1" x14ac:dyDescent="0.25">
      <c r="A26" s="8" t="s">
        <v>194</v>
      </c>
      <c r="B26" s="7"/>
    </row>
    <row r="27" spans="1:2" s="2" customFormat="1" ht="20.100000000000001" customHeight="1" x14ac:dyDescent="0.25">
      <c r="A27" s="8" t="s">
        <v>195</v>
      </c>
      <c r="B27" s="7"/>
    </row>
    <row r="28" spans="1:2" s="2" customFormat="1" ht="20.100000000000001" customHeight="1" x14ac:dyDescent="0.25">
      <c r="A28" s="8" t="s">
        <v>185</v>
      </c>
      <c r="B28" s="7"/>
    </row>
    <row r="29" spans="1:2" s="2" customFormat="1" ht="20.100000000000001" customHeight="1" x14ac:dyDescent="0.25">
      <c r="A29" s="8" t="s">
        <v>196</v>
      </c>
      <c r="B29" s="7"/>
    </row>
    <row r="30" spans="1:2" s="2" customFormat="1" ht="20.100000000000001" customHeight="1" x14ac:dyDescent="0.25">
      <c r="A30" s="8" t="s">
        <v>187</v>
      </c>
      <c r="B30" s="7"/>
    </row>
    <row r="31" spans="1:2" s="2" customFormat="1" ht="39.950000000000003" hidden="1" customHeight="1" x14ac:dyDescent="0.25">
      <c r="A31" s="8" t="s">
        <v>197</v>
      </c>
      <c r="B31" s="7"/>
    </row>
    <row r="32" spans="1:2" s="2" customFormat="1" ht="39.950000000000003" customHeight="1" x14ac:dyDescent="0.25">
      <c r="A32" s="8" t="s">
        <v>198</v>
      </c>
      <c r="B32" s="7"/>
    </row>
    <row r="33" spans="1:2" s="2" customFormat="1" ht="39.950000000000003" customHeight="1" x14ac:dyDescent="0.25">
      <c r="A33" s="8" t="s">
        <v>199</v>
      </c>
      <c r="B33" s="7"/>
    </row>
    <row r="34" spans="1:2" s="2" customFormat="1" ht="20.100000000000001" hidden="1" customHeight="1" x14ac:dyDescent="0.25">
      <c r="A34" s="8" t="s">
        <v>200</v>
      </c>
      <c r="B34" s="7"/>
    </row>
    <row r="35" spans="1:2" s="2" customFormat="1" ht="20.100000000000001" hidden="1" customHeight="1" x14ac:dyDescent="0.25">
      <c r="A35" s="8" t="s">
        <v>187</v>
      </c>
      <c r="B35" s="7"/>
    </row>
    <row r="36" spans="1:2" s="2" customFormat="1" ht="39.950000000000003" hidden="1" customHeight="1" x14ac:dyDescent="0.25">
      <c r="A36" s="8" t="s">
        <v>201</v>
      </c>
      <c r="B36" s="7"/>
    </row>
    <row r="37" spans="1:2" s="2" customFormat="1" ht="20.100000000000001" hidden="1" customHeight="1" x14ac:dyDescent="0.25">
      <c r="A37" s="8" t="s">
        <v>202</v>
      </c>
      <c r="B37" s="7"/>
    </row>
    <row r="38" spans="1:2" s="2" customFormat="1" ht="20.100000000000001" hidden="1" customHeight="1" x14ac:dyDescent="0.25">
      <c r="A38" s="8" t="s">
        <v>187</v>
      </c>
      <c r="B38" s="7"/>
    </row>
    <row r="39" spans="1:2" s="2" customFormat="1" ht="60" hidden="1" customHeight="1" x14ac:dyDescent="0.25">
      <c r="A39" s="8" t="s">
        <v>203</v>
      </c>
      <c r="B39" s="7"/>
    </row>
    <row r="40" spans="1:2" s="2" customFormat="1" ht="20.100000000000001" hidden="1" customHeight="1" x14ac:dyDescent="0.25">
      <c r="A40" s="8" t="s">
        <v>185</v>
      </c>
      <c r="B40" s="7"/>
    </row>
    <row r="41" spans="1:2" s="2" customFormat="1" ht="39.950000000000003" hidden="1" customHeight="1" x14ac:dyDescent="0.25">
      <c r="A41" s="8" t="s">
        <v>204</v>
      </c>
      <c r="B41" s="7"/>
    </row>
    <row r="42" spans="1:2" s="2" customFormat="1" ht="39.950000000000003" hidden="1" customHeight="1" x14ac:dyDescent="0.25">
      <c r="A42" s="8" t="s">
        <v>205</v>
      </c>
      <c r="B42" s="7"/>
    </row>
    <row r="43" spans="1:2" s="2" customFormat="1" ht="39.950000000000003" hidden="1" customHeight="1" x14ac:dyDescent="0.25">
      <c r="A43" s="8" t="s">
        <v>206</v>
      </c>
      <c r="B43" s="7"/>
    </row>
    <row r="44" spans="1:2" s="2" customFormat="1" ht="39.950000000000003" hidden="1" customHeight="1" x14ac:dyDescent="0.25">
      <c r="A44" s="8" t="s">
        <v>207</v>
      </c>
      <c r="B44" s="7"/>
    </row>
    <row r="45" spans="1:2" s="2" customFormat="1" ht="39.950000000000003" hidden="1" customHeight="1" x14ac:dyDescent="0.25">
      <c r="A45" s="8" t="s">
        <v>208</v>
      </c>
      <c r="B45" s="7"/>
    </row>
    <row r="46" spans="1:2" s="2" customFormat="1" ht="20.100000000000001" hidden="1" customHeight="1" x14ac:dyDescent="0.25">
      <c r="A46" s="8" t="s">
        <v>185</v>
      </c>
      <c r="B46" s="7"/>
    </row>
    <row r="47" spans="1:2" s="2" customFormat="1" ht="20.100000000000001" customHeight="1" x14ac:dyDescent="0.25">
      <c r="A47" s="8" t="s">
        <v>145</v>
      </c>
      <c r="B47" s="7"/>
    </row>
    <row r="48" spans="1:2" s="2" customFormat="1" ht="20.100000000000001" customHeight="1" x14ac:dyDescent="0.25">
      <c r="A48" s="8" t="s">
        <v>209</v>
      </c>
      <c r="B48" s="7"/>
    </row>
    <row r="49" spans="1:2" s="2" customFormat="1" ht="39.950000000000003" customHeight="1" x14ac:dyDescent="0.25">
      <c r="A49" s="8" t="s">
        <v>146</v>
      </c>
      <c r="B49" s="7"/>
    </row>
    <row r="50" spans="1:2" s="2" customFormat="1" ht="39.950000000000003" hidden="1" customHeight="1" x14ac:dyDescent="0.25">
      <c r="A50" s="8" t="s">
        <v>210</v>
      </c>
      <c r="B50" s="7"/>
    </row>
    <row r="51" spans="1:2" s="2" customFormat="1" ht="20.100000000000001" hidden="1" customHeight="1" x14ac:dyDescent="0.25">
      <c r="A51" s="8" t="s">
        <v>211</v>
      </c>
      <c r="B51" s="7"/>
    </row>
    <row r="52" spans="1:2" s="2" customFormat="1" ht="39.950000000000003" hidden="1" customHeight="1" x14ac:dyDescent="0.25">
      <c r="A52" s="8" t="s">
        <v>212</v>
      </c>
      <c r="B52" s="7"/>
    </row>
    <row r="53" spans="1:2" s="2" customFormat="1" ht="39.950000000000003" hidden="1" customHeight="1" x14ac:dyDescent="0.25">
      <c r="A53" s="8" t="s">
        <v>213</v>
      </c>
      <c r="B53" s="7"/>
    </row>
    <row r="54" spans="1:2" s="2" customFormat="1" ht="20.100000000000001" hidden="1" customHeight="1" x14ac:dyDescent="0.25">
      <c r="A54" s="8" t="s">
        <v>185</v>
      </c>
      <c r="B54" s="7"/>
    </row>
    <row r="55" spans="1:2" s="2" customFormat="1" ht="20.100000000000001" customHeight="1" x14ac:dyDescent="0.25">
      <c r="A55" s="8" t="s">
        <v>214</v>
      </c>
      <c r="B55" s="7"/>
    </row>
    <row r="56" spans="1:2" s="2" customFormat="1" ht="39.950000000000003" hidden="1" customHeight="1" x14ac:dyDescent="0.25">
      <c r="A56" s="8" t="s">
        <v>215</v>
      </c>
      <c r="B56" s="7"/>
    </row>
    <row r="57" spans="1:2" s="2" customFormat="1" ht="39.950000000000003" hidden="1" customHeight="1" x14ac:dyDescent="0.25">
      <c r="A57" s="8" t="s">
        <v>216</v>
      </c>
      <c r="B57" s="7"/>
    </row>
    <row r="58" spans="1:2" s="2" customFormat="1" ht="20.100000000000001" hidden="1" customHeight="1" x14ac:dyDescent="0.25">
      <c r="A58" s="8" t="s">
        <v>217</v>
      </c>
      <c r="B58" s="7"/>
    </row>
    <row r="59" spans="1:2" s="2" customFormat="1" ht="39.950000000000003" customHeight="1" x14ac:dyDescent="0.25">
      <c r="A59" s="8" t="s">
        <v>218</v>
      </c>
      <c r="B59" s="7"/>
    </row>
    <row r="60" spans="1:2" s="2" customFormat="1" ht="20.100000000000001" hidden="1" customHeight="1" x14ac:dyDescent="0.25">
      <c r="A60" s="8" t="s">
        <v>219</v>
      </c>
      <c r="B60" s="7"/>
    </row>
    <row r="61" spans="1:2" s="2" customFormat="1" ht="20.100000000000001" hidden="1" customHeight="1" x14ac:dyDescent="0.25">
      <c r="A61" s="8" t="s">
        <v>185</v>
      </c>
      <c r="B61" s="7"/>
    </row>
    <row r="62" spans="1:2" s="2" customFormat="1" ht="20.100000000000001" hidden="1" customHeight="1" x14ac:dyDescent="0.25">
      <c r="A62" s="8" t="s">
        <v>220</v>
      </c>
      <c r="B62" s="7"/>
    </row>
    <row r="63" spans="1:2" s="2" customFormat="1" ht="20.100000000000001" hidden="1" customHeight="1" x14ac:dyDescent="0.25">
      <c r="A63" s="8" t="s">
        <v>187</v>
      </c>
      <c r="B63" s="7"/>
    </row>
    <row r="64" spans="1:2" s="2" customFormat="1" ht="39.950000000000003" hidden="1" customHeight="1" x14ac:dyDescent="0.25">
      <c r="A64" s="8" t="s">
        <v>221</v>
      </c>
      <c r="B64" s="7"/>
    </row>
    <row r="65" spans="1:2" s="2" customFormat="1" ht="20.100000000000001" hidden="1" customHeight="1" x14ac:dyDescent="0.25">
      <c r="A65" s="8" t="s">
        <v>185</v>
      </c>
      <c r="B65" s="7"/>
    </row>
    <row r="66" spans="1:2" s="2" customFormat="1" ht="20.100000000000001" hidden="1" customHeight="1" x14ac:dyDescent="0.25">
      <c r="A66" s="8" t="s">
        <v>222</v>
      </c>
      <c r="B66" s="7"/>
    </row>
    <row r="67" spans="1:2" s="2" customFormat="1" ht="20.100000000000001" hidden="1" customHeight="1" x14ac:dyDescent="0.25">
      <c r="A67" s="8" t="s">
        <v>223</v>
      </c>
      <c r="B67" s="7"/>
    </row>
    <row r="68" spans="1:2" s="2" customFormat="1" ht="20.100000000000001" hidden="1" customHeight="1" x14ac:dyDescent="0.25">
      <c r="A68" s="8" t="s">
        <v>224</v>
      </c>
      <c r="B68" s="7"/>
    </row>
    <row r="69" spans="1:2" s="2" customFormat="1" ht="20.100000000000001" hidden="1" customHeight="1" x14ac:dyDescent="0.25">
      <c r="A69" s="8" t="s">
        <v>225</v>
      </c>
      <c r="B69" s="7"/>
    </row>
    <row r="70" spans="1:2" s="2" customFormat="1" ht="20.100000000000001" hidden="1" customHeight="1" x14ac:dyDescent="0.25">
      <c r="A70" s="8" t="s">
        <v>226</v>
      </c>
      <c r="B70" s="7"/>
    </row>
    <row r="71" spans="1:2" s="2" customFormat="1" ht="20.100000000000001" hidden="1" customHeight="1" x14ac:dyDescent="0.25">
      <c r="A71" s="8" t="s">
        <v>227</v>
      </c>
      <c r="B71" s="7"/>
    </row>
    <row r="72" spans="1:2" s="2" customFormat="1" ht="20.100000000000001" hidden="1" customHeight="1" x14ac:dyDescent="0.25">
      <c r="A72" s="8" t="s">
        <v>228</v>
      </c>
      <c r="B72" s="7"/>
    </row>
    <row r="73" spans="1:2" s="2" customFormat="1" ht="20.100000000000001" hidden="1" customHeight="1" x14ac:dyDescent="0.25">
      <c r="A73" s="8" t="s">
        <v>229</v>
      </c>
      <c r="B73" s="7"/>
    </row>
    <row r="74" spans="1:2" s="2" customFormat="1" ht="20.100000000000001" hidden="1" customHeight="1" x14ac:dyDescent="0.25">
      <c r="A74" s="8" t="s">
        <v>230</v>
      </c>
      <c r="B74" s="7"/>
    </row>
    <row r="75" spans="1:2" s="2" customFormat="1" ht="20.100000000000001" hidden="1" customHeight="1" x14ac:dyDescent="0.25">
      <c r="A75" s="8" t="s">
        <v>185</v>
      </c>
      <c r="B75" s="7"/>
    </row>
    <row r="76" spans="1:2" s="2" customFormat="1" ht="20.100000000000001" customHeight="1" x14ac:dyDescent="0.25">
      <c r="A76" s="8" t="s">
        <v>231</v>
      </c>
      <c r="B76" s="7"/>
    </row>
    <row r="77" spans="1:2" s="2" customFormat="1" ht="20.100000000000001" hidden="1" customHeight="1" x14ac:dyDescent="0.25">
      <c r="A77" s="8" t="s">
        <v>232</v>
      </c>
      <c r="B77" s="7"/>
    </row>
    <row r="78" spans="1:2" s="2" customFormat="1" ht="20.100000000000001" hidden="1" customHeight="1" x14ac:dyDescent="0.25">
      <c r="A78" s="8" t="s">
        <v>233</v>
      </c>
      <c r="B78" s="7"/>
    </row>
    <row r="79" spans="1:2" s="2" customFormat="1" ht="20.100000000000001" hidden="1" customHeight="1" x14ac:dyDescent="0.25">
      <c r="A79" s="8" t="s">
        <v>234</v>
      </c>
      <c r="B79" s="7"/>
    </row>
    <row r="80" spans="1:2" s="2" customFormat="1" ht="20.100000000000001" hidden="1" customHeight="1" x14ac:dyDescent="0.25">
      <c r="A80" s="8" t="s">
        <v>235</v>
      </c>
      <c r="B80" s="7"/>
    </row>
    <row r="81" spans="1:2" s="2" customFormat="1" ht="20.100000000000001" hidden="1" customHeight="1" x14ac:dyDescent="0.25">
      <c r="A81" s="8" t="s">
        <v>236</v>
      </c>
      <c r="B81" s="7"/>
    </row>
    <row r="82" spans="1:2" s="2" customFormat="1" ht="20.100000000000001" hidden="1" customHeight="1" x14ac:dyDescent="0.25">
      <c r="A82" s="8" t="s">
        <v>237</v>
      </c>
      <c r="B82" s="7"/>
    </row>
    <row r="83" spans="1:2" s="2" customFormat="1" ht="20.100000000000001" hidden="1" customHeight="1" x14ac:dyDescent="0.25">
      <c r="A83" s="8" t="s">
        <v>238</v>
      </c>
      <c r="B83" s="7"/>
    </row>
    <row r="84" spans="1:2" s="2" customFormat="1" ht="20.100000000000001" hidden="1" customHeight="1" x14ac:dyDescent="0.25">
      <c r="A84" s="8" t="s">
        <v>239</v>
      </c>
      <c r="B84" s="7"/>
    </row>
    <row r="85" spans="1:2" s="2" customFormat="1" ht="20.100000000000001" hidden="1" customHeight="1" x14ac:dyDescent="0.25">
      <c r="A85" s="8" t="s">
        <v>185</v>
      </c>
      <c r="B85" s="7"/>
    </row>
    <row r="86" spans="1:2" s="2" customFormat="1" ht="20.100000000000001" hidden="1" customHeight="1" x14ac:dyDescent="0.25">
      <c r="A86" s="8" t="s">
        <v>240</v>
      </c>
      <c r="B86" s="7"/>
    </row>
    <row r="87" spans="1:2" s="2" customFormat="1" ht="20.100000000000001" hidden="1" customHeight="1" x14ac:dyDescent="0.25">
      <c r="A87" s="8" t="s">
        <v>241</v>
      </c>
      <c r="B87" s="7"/>
    </row>
    <row r="88" spans="1:2" s="2" customFormat="1" ht="20.100000000000001" hidden="1" customHeight="1" x14ac:dyDescent="0.25">
      <c r="A88" s="8" t="s">
        <v>242</v>
      </c>
      <c r="B88" s="7"/>
    </row>
    <row r="89" spans="1:2" s="2" customFormat="1" ht="20.100000000000001" hidden="1" customHeight="1" x14ac:dyDescent="0.25">
      <c r="A89" s="8" t="s">
        <v>243</v>
      </c>
      <c r="B89" s="7"/>
    </row>
    <row r="90" spans="1:2" s="2" customFormat="1" ht="20.100000000000001" hidden="1" customHeight="1" x14ac:dyDescent="0.25">
      <c r="A90" s="8" t="s">
        <v>244</v>
      </c>
      <c r="B90" s="7"/>
    </row>
    <row r="91" spans="1:2" s="2" customFormat="1" ht="20.100000000000001" hidden="1" customHeight="1" x14ac:dyDescent="0.25">
      <c r="A91" s="8" t="s">
        <v>245</v>
      </c>
      <c r="B91" s="7"/>
    </row>
    <row r="92" spans="1:2" s="2" customFormat="1" ht="20.100000000000001" hidden="1" customHeight="1" x14ac:dyDescent="0.25">
      <c r="A92" s="8" t="s">
        <v>246</v>
      </c>
      <c r="B92" s="7"/>
    </row>
    <row r="93" spans="1:2" s="2" customFormat="1" ht="20.100000000000001" hidden="1" customHeight="1" x14ac:dyDescent="0.25">
      <c r="A93" s="8" t="s">
        <v>247</v>
      </c>
      <c r="B93" s="7"/>
    </row>
    <row r="94" spans="1:2" s="2" customFormat="1" ht="60" hidden="1" customHeight="1" x14ac:dyDescent="0.25">
      <c r="A94" s="8" t="s">
        <v>248</v>
      </c>
      <c r="B94" s="7"/>
    </row>
    <row r="95" spans="1:2" s="2" customFormat="1" ht="20.100000000000001" hidden="1" customHeight="1" x14ac:dyDescent="0.25">
      <c r="A95" s="8" t="s">
        <v>185</v>
      </c>
      <c r="B95" s="7"/>
    </row>
    <row r="96" spans="1:2" s="2" customFormat="1" ht="20.100000000000001" hidden="1" customHeight="1" x14ac:dyDescent="0.25">
      <c r="A96" s="8" t="s">
        <v>249</v>
      </c>
      <c r="B96" s="7"/>
    </row>
    <row r="97" spans="1:2" s="2" customFormat="1" ht="20.100000000000001" hidden="1" customHeight="1" x14ac:dyDescent="0.25">
      <c r="A97" s="8" t="s">
        <v>250</v>
      </c>
      <c r="B97" s="7"/>
    </row>
    <row r="98" spans="1:2" s="2" customFormat="1" ht="20.100000000000001" hidden="1" customHeight="1" x14ac:dyDescent="0.25">
      <c r="A98" s="8" t="s">
        <v>251</v>
      </c>
      <c r="B98" s="7"/>
    </row>
    <row r="99" spans="1:2" s="2" customFormat="1" ht="20.100000000000001" hidden="1" customHeight="1" x14ac:dyDescent="0.25">
      <c r="A99" s="8" t="s">
        <v>252</v>
      </c>
      <c r="B99" s="7"/>
    </row>
    <row r="100" spans="1:2" s="2" customFormat="1" ht="60" hidden="1" customHeight="1" x14ac:dyDescent="0.25">
      <c r="A100" s="8" t="s">
        <v>253</v>
      </c>
      <c r="B100" s="7"/>
    </row>
    <row r="101" spans="1:2" s="2" customFormat="1" ht="20.100000000000001" hidden="1" customHeight="1" x14ac:dyDescent="0.25">
      <c r="A101" s="8" t="s">
        <v>185</v>
      </c>
      <c r="B101" s="7"/>
    </row>
    <row r="102" spans="1:2" s="2" customFormat="1" ht="20.100000000000001" hidden="1" customHeight="1" x14ac:dyDescent="0.25">
      <c r="A102" s="8" t="s">
        <v>254</v>
      </c>
      <c r="B102" s="7"/>
    </row>
    <row r="103" spans="1:2" s="2" customFormat="1" ht="20.100000000000001" hidden="1" customHeight="1" x14ac:dyDescent="0.25">
      <c r="A103" s="8" t="s">
        <v>255</v>
      </c>
      <c r="B103" s="7"/>
    </row>
    <row r="104" spans="1:2" s="2" customFormat="1" ht="20.100000000000001" hidden="1" customHeight="1" x14ac:dyDescent="0.25">
      <c r="A104" s="8" t="s">
        <v>256</v>
      </c>
      <c r="B104" s="7"/>
    </row>
    <row r="105" spans="1:2" s="2" customFormat="1" ht="20.100000000000001" hidden="1" customHeight="1" x14ac:dyDescent="0.25">
      <c r="A105" s="8" t="s">
        <v>257</v>
      </c>
      <c r="B105" s="7"/>
    </row>
    <row r="106" spans="1:2" s="2" customFormat="1" ht="39.950000000000003" hidden="1" customHeight="1" x14ac:dyDescent="0.25">
      <c r="A106" s="8" t="s">
        <v>258</v>
      </c>
      <c r="B106" s="7"/>
    </row>
    <row r="107" spans="1:2" s="2" customFormat="1" ht="39.950000000000003" hidden="1" customHeight="1" x14ac:dyDescent="0.25">
      <c r="A107" s="8" t="s">
        <v>259</v>
      </c>
      <c r="B107" s="7"/>
    </row>
    <row r="108" spans="1:2" s="2" customFormat="1" ht="20.100000000000001" hidden="1" customHeight="1" x14ac:dyDescent="0.25">
      <c r="A108" s="8" t="s">
        <v>260</v>
      </c>
      <c r="B108" s="7"/>
    </row>
    <row r="109" spans="1:2" s="2" customFormat="1" ht="20.100000000000001" hidden="1" customHeight="1" x14ac:dyDescent="0.25">
      <c r="A109" s="8" t="s">
        <v>261</v>
      </c>
      <c r="B109" s="7"/>
    </row>
    <row r="110" spans="1:2" s="2" customFormat="1" ht="39.950000000000003" hidden="1" customHeight="1" x14ac:dyDescent="0.25">
      <c r="A110" s="8" t="s">
        <v>262</v>
      </c>
      <c r="B110" s="7"/>
    </row>
    <row r="111" spans="1:2" s="2" customFormat="1" ht="20.100000000000001" hidden="1" customHeight="1" x14ac:dyDescent="0.25">
      <c r="A111" s="8" t="s">
        <v>185</v>
      </c>
      <c r="B111" s="7"/>
    </row>
    <row r="112" spans="1:2" s="2" customFormat="1" ht="20.100000000000001" hidden="1" customHeight="1" x14ac:dyDescent="0.25">
      <c r="A112" s="8" t="s">
        <v>263</v>
      </c>
      <c r="B112" s="7"/>
    </row>
    <row r="113" spans="1:2" s="2" customFormat="1" ht="39.950000000000003" hidden="1" customHeight="1" x14ac:dyDescent="0.25">
      <c r="A113" s="8" t="s">
        <v>264</v>
      </c>
      <c r="B113" s="7"/>
    </row>
    <row r="114" spans="1:2" s="2" customFormat="1" ht="39.950000000000003" hidden="1" customHeight="1" x14ac:dyDescent="0.25">
      <c r="A114" s="8" t="s">
        <v>265</v>
      </c>
      <c r="B114" s="7"/>
    </row>
    <row r="115" spans="1:2" s="2" customFormat="1" ht="20.100000000000001" hidden="1" customHeight="1" x14ac:dyDescent="0.25">
      <c r="A115" s="8" t="s">
        <v>266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38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06"/>
  <sheetViews>
    <sheetView topLeftCell="A185" zoomScale="90" zoomScaleNormal="90" workbookViewId="0">
      <selection activeCell="D133" sqref="D133"/>
    </sheetView>
  </sheetViews>
  <sheetFormatPr defaultRowHeight="15" x14ac:dyDescent="0.25"/>
  <cols>
    <col min="1" max="1" width="4.7109375" style="70" customWidth="1"/>
    <col min="2" max="2" width="15.42578125" style="70" customWidth="1"/>
    <col min="3" max="3" width="17.7109375" style="70" customWidth="1"/>
    <col min="4" max="4" width="15.28515625" style="70" customWidth="1"/>
    <col min="5" max="5" width="17.7109375" style="70" customWidth="1"/>
    <col min="6" max="6" width="17.85546875" style="70" customWidth="1"/>
    <col min="7" max="7" width="23.85546875" style="70" customWidth="1"/>
    <col min="8" max="9" width="12.7109375" style="70" bestFit="1" customWidth="1"/>
    <col min="10" max="16384" width="9.140625" style="70"/>
  </cols>
  <sheetData>
    <row r="1" spans="1:11" ht="15" hidden="1" customHeight="1" x14ac:dyDescent="0.25">
      <c r="A1" s="308" t="s">
        <v>511</v>
      </c>
      <c r="B1" s="308"/>
      <c r="C1" s="308"/>
      <c r="D1" s="308"/>
      <c r="E1" s="308"/>
      <c r="F1" s="308"/>
      <c r="G1" s="308"/>
    </row>
    <row r="2" spans="1:11" ht="15" hidden="1" customHeight="1" x14ac:dyDescent="0.25">
      <c r="A2" s="308"/>
      <c r="B2" s="308"/>
      <c r="C2" s="308"/>
      <c r="D2" s="308"/>
      <c r="E2" s="308"/>
      <c r="F2" s="308"/>
      <c r="G2" s="308"/>
      <c r="I2" s="70">
        <v>262</v>
      </c>
    </row>
    <row r="3" spans="1:11" ht="15" hidden="1" customHeight="1" x14ac:dyDescent="0.25">
      <c r="A3" s="308"/>
      <c r="B3" s="308"/>
      <c r="C3" s="308"/>
      <c r="D3" s="308"/>
      <c r="E3" s="308"/>
      <c r="F3" s="308"/>
      <c r="G3" s="308"/>
    </row>
    <row r="4" spans="1:11" ht="15" hidden="1" customHeight="1" x14ac:dyDescent="0.25">
      <c r="A4" s="308"/>
      <c r="B4" s="308"/>
      <c r="C4" s="308"/>
      <c r="D4" s="308"/>
      <c r="E4" s="308"/>
      <c r="F4" s="308"/>
      <c r="G4" s="308"/>
    </row>
    <row r="5" spans="1:11" ht="15" hidden="1" customHeight="1" x14ac:dyDescent="0.25">
      <c r="A5" s="308"/>
      <c r="B5" s="308"/>
      <c r="C5" s="308"/>
      <c r="D5" s="308"/>
      <c r="E5" s="308"/>
      <c r="F5" s="308"/>
      <c r="G5" s="308"/>
    </row>
    <row r="6" spans="1:11" ht="15" hidden="1" customHeight="1" x14ac:dyDescent="0.25">
      <c r="A6" s="308"/>
      <c r="B6" s="308"/>
      <c r="C6" s="308"/>
      <c r="D6" s="308"/>
      <c r="E6" s="308"/>
      <c r="F6" s="308"/>
      <c r="G6" s="308"/>
    </row>
    <row r="7" spans="1:11" ht="15" hidden="1" customHeight="1" x14ac:dyDescent="0.25">
      <c r="A7" s="308"/>
      <c r="B7" s="308"/>
      <c r="C7" s="308"/>
      <c r="D7" s="308"/>
      <c r="E7" s="308"/>
      <c r="F7" s="308"/>
      <c r="G7" s="308"/>
    </row>
    <row r="8" spans="1:11" ht="45" hidden="1" customHeight="1" x14ac:dyDescent="0.25">
      <c r="A8" s="308"/>
      <c r="B8" s="308"/>
      <c r="C8" s="308"/>
      <c r="D8" s="308"/>
      <c r="E8" s="308"/>
      <c r="F8" s="308"/>
      <c r="G8" s="308"/>
    </row>
    <row r="9" spans="1:11" ht="15" hidden="1" customHeight="1" x14ac:dyDescent="0.25">
      <c r="A9" s="308"/>
      <c r="B9" s="308"/>
      <c r="C9" s="308"/>
      <c r="D9" s="308"/>
      <c r="E9" s="308"/>
      <c r="F9" s="308"/>
      <c r="G9" s="308"/>
    </row>
    <row r="10" spans="1:11" ht="15" hidden="1" customHeight="1" x14ac:dyDescent="0.25">
      <c r="A10" s="308"/>
      <c r="B10" s="308"/>
      <c r="C10" s="308"/>
      <c r="D10" s="308"/>
      <c r="E10" s="308"/>
      <c r="F10" s="308"/>
      <c r="G10" s="308"/>
    </row>
    <row r="11" spans="1:11" ht="15" hidden="1" customHeight="1" x14ac:dyDescent="0.25">
      <c r="A11" s="308"/>
      <c r="B11" s="308"/>
      <c r="C11" s="308"/>
      <c r="D11" s="308"/>
      <c r="E11" s="308"/>
      <c r="F11" s="308"/>
      <c r="G11" s="308"/>
    </row>
    <row r="12" spans="1:11" ht="15" hidden="1" customHeight="1" x14ac:dyDescent="0.25">
      <c r="A12" s="308"/>
      <c r="B12" s="308"/>
      <c r="C12" s="308"/>
      <c r="D12" s="308"/>
      <c r="E12" s="308"/>
      <c r="F12" s="308"/>
      <c r="G12" s="308"/>
    </row>
    <row r="13" spans="1:11" ht="15" customHeight="1" x14ac:dyDescent="0.25">
      <c r="A13" s="308"/>
      <c r="B13" s="308"/>
      <c r="C13" s="308"/>
      <c r="D13" s="308"/>
      <c r="E13" s="308"/>
      <c r="F13" s="308"/>
      <c r="G13" s="308"/>
      <c r="J13" s="70">
        <v>290</v>
      </c>
      <c r="K13" s="70">
        <v>1143</v>
      </c>
    </row>
    <row r="14" spans="1:11" ht="15" customHeight="1" x14ac:dyDescent="0.25">
      <c r="A14" s="308" t="s">
        <v>520</v>
      </c>
      <c r="B14" s="308"/>
      <c r="C14" s="308"/>
      <c r="D14" s="308"/>
      <c r="E14" s="308"/>
      <c r="F14" s="308"/>
      <c r="G14" s="308"/>
    </row>
    <row r="15" spans="1:11" ht="15" customHeight="1" x14ac:dyDescent="0.25">
      <c r="A15" s="94"/>
      <c r="B15" s="94"/>
      <c r="C15" s="94"/>
      <c r="D15" s="94"/>
      <c r="E15" s="94"/>
      <c r="F15" s="94"/>
    </row>
    <row r="16" spans="1:11" ht="27" customHeight="1" x14ac:dyDescent="0.25">
      <c r="A16" s="307" t="s">
        <v>78</v>
      </c>
      <c r="B16" s="307"/>
      <c r="C16" s="307"/>
      <c r="D16" s="307"/>
      <c r="E16" s="307"/>
      <c r="F16" s="307"/>
      <c r="G16" s="307"/>
    </row>
    <row r="17" spans="1:9" ht="15" customHeight="1" x14ac:dyDescent="0.25">
      <c r="A17" s="308" t="s">
        <v>2</v>
      </c>
      <c r="B17" s="308"/>
      <c r="C17" s="308"/>
      <c r="D17" s="308"/>
      <c r="E17" s="308"/>
      <c r="F17" s="308"/>
      <c r="G17" s="308"/>
    </row>
    <row r="18" spans="1:9" ht="15" customHeight="1" x14ac:dyDescent="0.25">
      <c r="A18" s="382" t="s">
        <v>82</v>
      </c>
      <c r="B18" s="382"/>
      <c r="C18" s="382"/>
      <c r="D18" s="382"/>
      <c r="E18" s="382"/>
      <c r="F18" s="382"/>
      <c r="G18" s="382"/>
    </row>
    <row r="19" spans="1:9" ht="60" customHeight="1" x14ac:dyDescent="0.25">
      <c r="A19" s="192" t="s">
        <v>442</v>
      </c>
      <c r="B19" s="192" t="s">
        <v>454</v>
      </c>
      <c r="C19" s="192" t="s">
        <v>521</v>
      </c>
      <c r="D19" s="192" t="s">
        <v>522</v>
      </c>
      <c r="E19" s="302" t="s">
        <v>118</v>
      </c>
      <c r="F19" s="302"/>
      <c r="G19" s="192" t="s">
        <v>756</v>
      </c>
    </row>
    <row r="20" spans="1:9" ht="15" customHeight="1" x14ac:dyDescent="0.25">
      <c r="A20" s="192">
        <v>1</v>
      </c>
      <c r="B20" s="192">
        <v>2</v>
      </c>
      <c r="C20" s="192">
        <v>3</v>
      </c>
      <c r="D20" s="192">
        <v>4</v>
      </c>
      <c r="E20" s="302">
        <v>5</v>
      </c>
      <c r="F20" s="302"/>
      <c r="G20" s="302"/>
    </row>
    <row r="21" spans="1:9" ht="45.75" customHeight="1" x14ac:dyDescent="0.25">
      <c r="A21" s="192">
        <v>1</v>
      </c>
      <c r="B21" s="192" t="s">
        <v>1</v>
      </c>
      <c r="C21" s="133">
        <v>205202.04503496498</v>
      </c>
      <c r="D21" s="185">
        <v>2.2000000000000002</v>
      </c>
      <c r="E21" s="380">
        <f>CEILING(C21*D21/100,100)</f>
        <v>4600</v>
      </c>
      <c r="F21" s="380"/>
      <c r="G21" s="190">
        <f>E21</f>
        <v>4600</v>
      </c>
      <c r="H21" s="93" t="e">
        <f>E22-H22</f>
        <v>#REF!</v>
      </c>
      <c r="I21" s="93">
        <f>G22-I22</f>
        <v>0</v>
      </c>
    </row>
    <row r="22" spans="1:9" ht="15" customHeight="1" x14ac:dyDescent="0.25">
      <c r="A22" s="192"/>
      <c r="B22" s="192" t="s">
        <v>450</v>
      </c>
      <c r="C22" s="192"/>
      <c r="D22" s="192" t="s">
        <v>451</v>
      </c>
      <c r="E22" s="380">
        <f>SUM(E21)</f>
        <v>4600</v>
      </c>
      <c r="F22" s="381"/>
      <c r="G22" s="226">
        <f>SUM(G21)</f>
        <v>4600</v>
      </c>
      <c r="H22" s="70" t="e">
        <f>#REF!</f>
        <v>#REF!</v>
      </c>
      <c r="I22" s="70">
        <f>'р.3 2021'!M78</f>
        <v>4600</v>
      </c>
    </row>
    <row r="23" spans="1:9" ht="15" customHeight="1" x14ac:dyDescent="0.25">
      <c r="G23" s="227"/>
    </row>
    <row r="24" spans="1:9" ht="15" hidden="1" customHeight="1" x14ac:dyDescent="0.25">
      <c r="A24" s="308" t="s">
        <v>516</v>
      </c>
      <c r="B24" s="308"/>
      <c r="C24" s="308"/>
      <c r="D24" s="308"/>
      <c r="E24" s="308"/>
      <c r="F24" s="308"/>
      <c r="G24" s="227"/>
    </row>
    <row r="25" spans="1:9" ht="15" hidden="1" customHeight="1" x14ac:dyDescent="0.25">
      <c r="A25" s="308" t="s">
        <v>517</v>
      </c>
      <c r="B25" s="308"/>
      <c r="C25" s="308"/>
      <c r="D25" s="308"/>
      <c r="E25" s="308"/>
      <c r="F25" s="308"/>
      <c r="G25" s="227"/>
    </row>
    <row r="26" spans="1:9" ht="15" hidden="1" customHeight="1" x14ac:dyDescent="0.25">
      <c r="G26" s="227"/>
    </row>
    <row r="27" spans="1:9" ht="15" hidden="1" customHeight="1" x14ac:dyDescent="0.25">
      <c r="A27" s="304" t="s">
        <v>461</v>
      </c>
      <c r="B27" s="304"/>
      <c r="C27" s="304"/>
      <c r="D27" s="304"/>
      <c r="E27" s="304"/>
      <c r="F27" s="304"/>
      <c r="G27" s="227"/>
    </row>
    <row r="28" spans="1:9" ht="15" hidden="1" customHeight="1" x14ac:dyDescent="0.25">
      <c r="A28" s="184" t="s">
        <v>462</v>
      </c>
      <c r="B28" s="95"/>
      <c r="C28" s="95"/>
      <c r="D28" s="95"/>
      <c r="E28" s="95"/>
      <c r="F28" s="95"/>
      <c r="G28" s="227"/>
    </row>
    <row r="29" spans="1:9" ht="15" hidden="1" customHeight="1" x14ac:dyDescent="0.25">
      <c r="G29" s="227"/>
    </row>
    <row r="30" spans="1:9" ht="50.1" hidden="1" customHeight="1" x14ac:dyDescent="0.25">
      <c r="A30" s="185" t="s">
        <v>442</v>
      </c>
      <c r="B30" s="302" t="s">
        <v>183</v>
      </c>
      <c r="C30" s="302"/>
      <c r="D30" s="185" t="s">
        <v>513</v>
      </c>
      <c r="E30" s="185" t="s">
        <v>514</v>
      </c>
      <c r="F30" s="185" t="s">
        <v>518</v>
      </c>
      <c r="G30" s="227"/>
    </row>
    <row r="31" spans="1:9" ht="15" hidden="1" customHeight="1" x14ac:dyDescent="0.25">
      <c r="A31" s="185">
        <v>1</v>
      </c>
      <c r="B31" s="361">
        <v>2</v>
      </c>
      <c r="C31" s="362"/>
      <c r="D31" s="185">
        <v>3</v>
      </c>
      <c r="E31" s="185">
        <v>4</v>
      </c>
      <c r="F31" s="185">
        <v>5</v>
      </c>
      <c r="G31" s="227"/>
    </row>
    <row r="32" spans="1:9" ht="15" hidden="1" customHeight="1" x14ac:dyDescent="0.25">
      <c r="A32" s="185"/>
      <c r="B32" s="361"/>
      <c r="C32" s="362"/>
      <c r="D32" s="185"/>
      <c r="E32" s="185"/>
      <c r="F32" s="185"/>
      <c r="G32" s="227"/>
    </row>
    <row r="33" spans="1:9" ht="15" hidden="1" customHeight="1" x14ac:dyDescent="0.25">
      <c r="A33" s="185"/>
      <c r="B33" s="361" t="s">
        <v>450</v>
      </c>
      <c r="C33" s="362"/>
      <c r="D33" s="185" t="s">
        <v>451</v>
      </c>
      <c r="E33" s="185" t="s">
        <v>451</v>
      </c>
      <c r="F33" s="185"/>
      <c r="G33" s="227"/>
    </row>
    <row r="34" spans="1:9" s="72" customFormat="1" ht="15" hidden="1" customHeight="1" x14ac:dyDescent="0.25"/>
    <row r="35" spans="1:9" s="72" customFormat="1" ht="15" hidden="1" customHeight="1" x14ac:dyDescent="0.25">
      <c r="A35" s="308" t="s">
        <v>524</v>
      </c>
      <c r="B35" s="308"/>
      <c r="C35" s="308"/>
      <c r="D35" s="308"/>
      <c r="E35" s="308"/>
      <c r="F35" s="308"/>
    </row>
    <row r="36" spans="1:9" s="72" customFormat="1" ht="15" hidden="1" customHeight="1" x14ac:dyDescent="0.25">
      <c r="A36" s="308" t="s">
        <v>525</v>
      </c>
      <c r="B36" s="308"/>
      <c r="C36" s="308"/>
      <c r="D36" s="308"/>
      <c r="E36" s="308"/>
      <c r="F36" s="308"/>
    </row>
    <row r="37" spans="1:9" s="72" customFormat="1" ht="15" hidden="1" customHeight="1" x14ac:dyDescent="0.25"/>
    <row r="38" spans="1:9" s="72" customFormat="1" ht="15" hidden="1" customHeight="1" x14ac:dyDescent="0.25">
      <c r="A38" s="304" t="s">
        <v>461</v>
      </c>
      <c r="B38" s="304"/>
      <c r="C38" s="304"/>
      <c r="D38" s="304"/>
      <c r="E38" s="304"/>
      <c r="F38" s="304"/>
    </row>
    <row r="39" spans="1:9" s="72" customFormat="1" ht="15" hidden="1" customHeight="1" x14ac:dyDescent="0.25">
      <c r="A39" s="304" t="s">
        <v>462</v>
      </c>
      <c r="B39" s="304"/>
      <c r="C39" s="304"/>
      <c r="D39" s="304"/>
      <c r="E39" s="304"/>
      <c r="F39" s="304"/>
      <c r="I39" s="72" t="s">
        <v>0</v>
      </c>
    </row>
    <row r="40" spans="1:9" hidden="1" x14ac:dyDescent="0.25">
      <c r="G40" s="227"/>
    </row>
    <row r="41" spans="1:9" ht="45" hidden="1" customHeight="1" x14ac:dyDescent="0.25">
      <c r="A41" s="192" t="s">
        <v>442</v>
      </c>
      <c r="B41" s="302" t="s">
        <v>183</v>
      </c>
      <c r="C41" s="302"/>
      <c r="D41" s="192" t="s">
        <v>513</v>
      </c>
      <c r="E41" s="192" t="s">
        <v>514</v>
      </c>
      <c r="F41" s="192" t="s">
        <v>518</v>
      </c>
      <c r="G41" s="227"/>
    </row>
    <row r="42" spans="1:9" ht="15" hidden="1" customHeight="1" x14ac:dyDescent="0.25">
      <c r="A42" s="192">
        <v>1</v>
      </c>
      <c r="B42" s="302">
        <v>2</v>
      </c>
      <c r="C42" s="302"/>
      <c r="D42" s="192">
        <v>3</v>
      </c>
      <c r="E42" s="192">
        <v>4</v>
      </c>
      <c r="F42" s="192">
        <v>5</v>
      </c>
      <c r="G42" s="227"/>
    </row>
    <row r="43" spans="1:9" ht="15" hidden="1" customHeight="1" x14ac:dyDescent="0.25">
      <c r="A43" s="192"/>
      <c r="B43" s="302"/>
      <c r="C43" s="302"/>
      <c r="D43" s="192"/>
      <c r="E43" s="192"/>
      <c r="F43" s="192"/>
      <c r="G43" s="227"/>
    </row>
    <row r="44" spans="1:9" ht="15" hidden="1" customHeight="1" x14ac:dyDescent="0.25">
      <c r="A44" s="192"/>
      <c r="B44" s="302"/>
      <c r="C44" s="302"/>
      <c r="D44" s="192"/>
      <c r="E44" s="192"/>
      <c r="F44" s="192"/>
      <c r="G44" s="227"/>
    </row>
    <row r="45" spans="1:9" ht="15" hidden="1" customHeight="1" x14ac:dyDescent="0.25">
      <c r="A45" s="192"/>
      <c r="B45" s="302" t="s">
        <v>450</v>
      </c>
      <c r="C45" s="302"/>
      <c r="D45" s="192" t="s">
        <v>451</v>
      </c>
      <c r="E45" s="192" t="s">
        <v>451</v>
      </c>
      <c r="F45" s="192"/>
      <c r="G45" s="227"/>
    </row>
    <row r="46" spans="1:9" ht="15" hidden="1" customHeight="1" x14ac:dyDescent="0.25">
      <c r="G46" s="227"/>
    </row>
    <row r="47" spans="1:9" ht="15" customHeight="1" x14ac:dyDescent="0.25">
      <c r="A47" s="308" t="s">
        <v>526</v>
      </c>
      <c r="B47" s="308"/>
      <c r="C47" s="308"/>
      <c r="D47" s="308"/>
      <c r="E47" s="308"/>
      <c r="F47" s="308"/>
      <c r="G47" s="308"/>
    </row>
    <row r="48" spans="1:9" ht="15" customHeight="1" x14ac:dyDescent="0.25">
      <c r="A48" s="308"/>
      <c r="B48" s="308"/>
      <c r="C48" s="308"/>
      <c r="D48" s="308"/>
      <c r="E48" s="308"/>
      <c r="F48" s="308"/>
      <c r="G48" s="227"/>
    </row>
    <row r="49" spans="1:11" ht="18.75" customHeight="1" x14ac:dyDescent="0.25">
      <c r="A49" s="307" t="s">
        <v>126</v>
      </c>
      <c r="B49" s="307"/>
      <c r="C49" s="307"/>
      <c r="D49" s="307"/>
      <c r="E49" s="307"/>
      <c r="F49" s="307"/>
      <c r="G49" s="307"/>
    </row>
    <row r="50" spans="1:11" ht="29.25" customHeight="1" x14ac:dyDescent="0.25">
      <c r="A50" s="307" t="s">
        <v>127</v>
      </c>
      <c r="B50" s="307"/>
      <c r="C50" s="307"/>
      <c r="D50" s="307"/>
      <c r="E50" s="307"/>
      <c r="F50" s="307"/>
      <c r="G50" s="307"/>
      <c r="H50" s="96"/>
      <c r="I50" s="96"/>
      <c r="J50" s="96"/>
      <c r="K50" s="96"/>
    </row>
    <row r="51" spans="1:11" ht="15" customHeight="1" x14ac:dyDescent="0.25">
      <c r="A51" s="308"/>
      <c r="B51" s="308"/>
      <c r="C51" s="308"/>
      <c r="D51" s="308"/>
      <c r="E51" s="308"/>
      <c r="F51" s="308"/>
      <c r="G51" s="227"/>
    </row>
    <row r="52" spans="1:11" ht="15" customHeight="1" x14ac:dyDescent="0.25">
      <c r="A52" s="308" t="s">
        <v>682</v>
      </c>
      <c r="B52" s="308"/>
      <c r="C52" s="308"/>
      <c r="D52" s="308"/>
      <c r="E52" s="308"/>
      <c r="F52" s="308"/>
      <c r="G52" s="308"/>
    </row>
    <row r="53" spans="1:11" ht="10.5" customHeight="1" x14ac:dyDescent="0.25">
      <c r="G53" s="227"/>
    </row>
    <row r="54" spans="1:11" ht="15.75" x14ac:dyDescent="0.25">
      <c r="A54" s="374" t="s">
        <v>683</v>
      </c>
      <c r="B54" s="374"/>
      <c r="C54" s="374"/>
      <c r="D54" s="374"/>
      <c r="E54" s="374"/>
      <c r="F54" s="374"/>
      <c r="G54" s="374"/>
    </row>
    <row r="55" spans="1:11" ht="35.1" customHeight="1" x14ac:dyDescent="0.25">
      <c r="A55" s="192" t="s">
        <v>442</v>
      </c>
      <c r="B55" s="192" t="s">
        <v>454</v>
      </c>
      <c r="C55" s="192" t="s">
        <v>527</v>
      </c>
      <c r="D55" s="192" t="s">
        <v>528</v>
      </c>
      <c r="E55" s="192" t="s">
        <v>529</v>
      </c>
      <c r="F55" s="192" t="s">
        <v>115</v>
      </c>
      <c r="G55" s="192" t="s">
        <v>757</v>
      </c>
    </row>
    <row r="56" spans="1:11" ht="15" customHeight="1" x14ac:dyDescent="0.25">
      <c r="A56" s="192">
        <v>1</v>
      </c>
      <c r="B56" s="192">
        <v>2</v>
      </c>
      <c r="C56" s="192">
        <v>3</v>
      </c>
      <c r="D56" s="192">
        <v>4</v>
      </c>
      <c r="E56" s="192">
        <v>5</v>
      </c>
      <c r="F56" s="389">
        <v>6</v>
      </c>
      <c r="G56" s="389"/>
    </row>
    <row r="57" spans="1:11" ht="32.25" customHeight="1" x14ac:dyDescent="0.25">
      <c r="A57" s="192">
        <v>1</v>
      </c>
      <c r="B57" s="147" t="s">
        <v>777</v>
      </c>
      <c r="C57" s="192">
        <v>1</v>
      </c>
      <c r="D57" s="192">
        <v>12</v>
      </c>
      <c r="E57" s="117">
        <v>1416.6635869565216</v>
      </c>
      <c r="F57" s="117">
        <f>ROUND(C57*D57*E57,0)</f>
        <v>17000</v>
      </c>
      <c r="G57" s="228">
        <f>F57</f>
        <v>17000</v>
      </c>
      <c r="H57" s="93" t="e">
        <f>H58-F57</f>
        <v>#REF!</v>
      </c>
      <c r="I57" s="93">
        <f>I58-G57</f>
        <v>0</v>
      </c>
    </row>
    <row r="58" spans="1:11" ht="15" customHeight="1" x14ac:dyDescent="0.25">
      <c r="A58" s="192"/>
      <c r="B58" s="148" t="s">
        <v>450</v>
      </c>
      <c r="C58" s="192" t="s">
        <v>451</v>
      </c>
      <c r="D58" s="192" t="s">
        <v>451</v>
      </c>
      <c r="E58" s="192" t="s">
        <v>451</v>
      </c>
      <c r="F58" s="117">
        <f>SUM(F57)</f>
        <v>17000</v>
      </c>
      <c r="G58" s="229">
        <f>G57</f>
        <v>17000</v>
      </c>
      <c r="H58" s="70" t="e">
        <f>#REF!</f>
        <v>#REF!</v>
      </c>
      <c r="I58" s="93">
        <f>'р.3 2021'!H102</f>
        <v>17000</v>
      </c>
    </row>
    <row r="59" spans="1:11" ht="8.25" customHeight="1" x14ac:dyDescent="0.25">
      <c r="A59" s="97"/>
      <c r="G59" s="227"/>
    </row>
    <row r="60" spans="1:11" ht="15.75" x14ac:dyDescent="0.25">
      <c r="A60" s="374" t="s">
        <v>684</v>
      </c>
      <c r="B60" s="374"/>
      <c r="C60" s="374"/>
      <c r="D60" s="374"/>
      <c r="E60" s="374"/>
      <c r="F60" s="374"/>
      <c r="G60" s="374"/>
    </row>
    <row r="61" spans="1:11" ht="35.1" customHeight="1" x14ac:dyDescent="0.25">
      <c r="A61" s="192" t="s">
        <v>442</v>
      </c>
      <c r="B61" s="192" t="s">
        <v>454</v>
      </c>
      <c r="C61" s="192" t="s">
        <v>527</v>
      </c>
      <c r="D61" s="192" t="s">
        <v>528</v>
      </c>
      <c r="E61" s="192" t="s">
        <v>529</v>
      </c>
      <c r="F61" s="192" t="s">
        <v>115</v>
      </c>
      <c r="G61" s="192" t="s">
        <v>757</v>
      </c>
    </row>
    <row r="62" spans="1:11" ht="15" customHeight="1" x14ac:dyDescent="0.25">
      <c r="A62" s="192">
        <v>1</v>
      </c>
      <c r="B62" s="192">
        <v>2</v>
      </c>
      <c r="C62" s="192">
        <v>3</v>
      </c>
      <c r="D62" s="192">
        <v>4</v>
      </c>
      <c r="E62" s="192">
        <v>5</v>
      </c>
      <c r="F62" s="389">
        <v>6</v>
      </c>
      <c r="G62" s="389"/>
    </row>
    <row r="63" spans="1:11" ht="60.75" customHeight="1" x14ac:dyDescent="0.25">
      <c r="A63" s="192">
        <v>1</v>
      </c>
      <c r="B63" s="147" t="s">
        <v>776</v>
      </c>
      <c r="C63" s="192">
        <v>1</v>
      </c>
      <c r="D63" s="192">
        <v>12</v>
      </c>
      <c r="E63" s="117">
        <v>4000</v>
      </c>
      <c r="F63" s="117">
        <f>ROUND(C63*D63*E63,0)</f>
        <v>48000</v>
      </c>
      <c r="G63" s="228">
        <f>F63</f>
        <v>48000</v>
      </c>
      <c r="H63" s="93" t="e">
        <f>F63-H64</f>
        <v>#REF!</v>
      </c>
      <c r="I63" s="93">
        <f>G63-I64</f>
        <v>0</v>
      </c>
    </row>
    <row r="64" spans="1:11" ht="15" customHeight="1" x14ac:dyDescent="0.25">
      <c r="A64" s="192"/>
      <c r="B64" s="148" t="s">
        <v>450</v>
      </c>
      <c r="C64" s="192" t="s">
        <v>451</v>
      </c>
      <c r="D64" s="192" t="s">
        <v>451</v>
      </c>
      <c r="E64" s="192" t="s">
        <v>451</v>
      </c>
      <c r="F64" s="117">
        <f>SUM(F63)</f>
        <v>48000</v>
      </c>
      <c r="G64" s="229">
        <f>G63</f>
        <v>48000</v>
      </c>
      <c r="H64" s="70" t="e">
        <f>#REF!</f>
        <v>#REF!</v>
      </c>
      <c r="I64" s="93">
        <f>'р.3 2021'!H103</f>
        <v>48000</v>
      </c>
    </row>
    <row r="65" spans="1:10" ht="8.25" customHeight="1" x14ac:dyDescent="0.25">
      <c r="A65" s="97"/>
      <c r="G65" s="227"/>
    </row>
    <row r="66" spans="1:10" ht="8.25" customHeight="1" x14ac:dyDescent="0.25">
      <c r="A66" s="97"/>
      <c r="G66" s="227"/>
    </row>
    <row r="67" spans="1:10" ht="15.75" x14ac:dyDescent="0.25">
      <c r="A67" s="377" t="s">
        <v>79</v>
      </c>
      <c r="B67" s="377"/>
      <c r="C67" s="377"/>
      <c r="D67" s="377"/>
      <c r="E67" s="377"/>
      <c r="F67" s="377"/>
      <c r="G67" s="377"/>
    </row>
    <row r="68" spans="1:10" ht="18" customHeight="1" x14ac:dyDescent="0.25">
      <c r="A68" s="308" t="s">
        <v>530</v>
      </c>
      <c r="B68" s="308"/>
      <c r="C68" s="308"/>
      <c r="D68" s="308"/>
      <c r="E68" s="308"/>
      <c r="F68" s="308"/>
      <c r="G68" s="308"/>
    </row>
    <row r="69" spans="1:10" ht="15.75" x14ac:dyDescent="0.25">
      <c r="A69" s="411" t="s">
        <v>28</v>
      </c>
      <c r="B69" s="411"/>
      <c r="C69" s="411"/>
      <c r="D69" s="411"/>
      <c r="E69" s="411"/>
      <c r="F69" s="411"/>
      <c r="G69" s="411"/>
      <c r="J69" s="70">
        <v>22</v>
      </c>
    </row>
    <row r="70" spans="1:10" ht="29.25" customHeight="1" x14ac:dyDescent="0.25">
      <c r="A70" s="192" t="s">
        <v>442</v>
      </c>
      <c r="B70" s="302" t="s">
        <v>454</v>
      </c>
      <c r="C70" s="302"/>
      <c r="D70" s="192" t="s">
        <v>531</v>
      </c>
      <c r="E70" s="192" t="s">
        <v>532</v>
      </c>
      <c r="F70" s="192" t="s">
        <v>119</v>
      </c>
      <c r="G70" s="192" t="s">
        <v>758</v>
      </c>
    </row>
    <row r="71" spans="1:10" ht="15" customHeight="1" x14ac:dyDescent="0.25">
      <c r="A71" s="192">
        <v>1</v>
      </c>
      <c r="B71" s="302">
        <v>2</v>
      </c>
      <c r="C71" s="302"/>
      <c r="D71" s="192">
        <v>3</v>
      </c>
      <c r="E71" s="192">
        <v>4</v>
      </c>
      <c r="F71" s="389">
        <v>5</v>
      </c>
      <c r="G71" s="389"/>
    </row>
    <row r="72" spans="1:10" ht="57" customHeight="1" x14ac:dyDescent="0.25">
      <c r="A72" s="192">
        <v>1</v>
      </c>
      <c r="B72" s="312" t="s">
        <v>29</v>
      </c>
      <c r="C72" s="313"/>
      <c r="D72" s="133">
        <v>253</v>
      </c>
      <c r="E72" s="133">
        <v>3724.901185770751</v>
      </c>
      <c r="F72" s="133">
        <f>ROUND(D72*E72,0)</f>
        <v>942400</v>
      </c>
      <c r="G72" s="133">
        <f>F72</f>
        <v>942400</v>
      </c>
      <c r="I72" s="93"/>
    </row>
    <row r="73" spans="1:10" ht="15" customHeight="1" x14ac:dyDescent="0.25">
      <c r="A73" s="192"/>
      <c r="B73" s="302" t="s">
        <v>450</v>
      </c>
      <c r="C73" s="302"/>
      <c r="D73" s="192"/>
      <c r="E73" s="192"/>
      <c r="F73" s="117">
        <f>SUM(F72:F72)</f>
        <v>942400</v>
      </c>
      <c r="G73" s="117">
        <f>SUM(G72:G72)</f>
        <v>942400</v>
      </c>
      <c r="H73" s="70" t="e">
        <f>#REF!</f>
        <v>#REF!</v>
      </c>
      <c r="I73" s="93">
        <f>'р.3 2021'!Q104</f>
        <v>942400</v>
      </c>
    </row>
    <row r="74" spans="1:10" x14ac:dyDescent="0.25">
      <c r="G74" s="227"/>
    </row>
    <row r="75" spans="1:10" ht="31.5" customHeight="1" x14ac:dyDescent="0.25">
      <c r="A75" s="395" t="s">
        <v>80</v>
      </c>
      <c r="B75" s="395"/>
      <c r="C75" s="395"/>
      <c r="D75" s="395"/>
      <c r="E75" s="395"/>
      <c r="F75" s="395"/>
      <c r="G75" s="395"/>
    </row>
    <row r="76" spans="1:10" ht="21" customHeight="1" x14ac:dyDescent="0.25">
      <c r="A76" s="308" t="s">
        <v>534</v>
      </c>
      <c r="B76" s="308"/>
      <c r="C76" s="308"/>
      <c r="D76" s="308"/>
      <c r="E76" s="308"/>
      <c r="F76" s="308"/>
      <c r="G76" s="308"/>
    </row>
    <row r="77" spans="1:10" ht="3" customHeight="1" x14ac:dyDescent="0.25">
      <c r="A77" s="188"/>
      <c r="B77" s="188"/>
      <c r="C77" s="188"/>
      <c r="D77" s="188"/>
      <c r="E77" s="188"/>
      <c r="F77" s="188"/>
      <c r="G77" s="227"/>
    </row>
    <row r="78" spans="1:10" ht="18.75" customHeight="1" x14ac:dyDescent="0.25">
      <c r="A78" s="406" t="s">
        <v>68</v>
      </c>
      <c r="B78" s="406"/>
      <c r="C78" s="406"/>
      <c r="D78" s="406"/>
      <c r="E78" s="406"/>
      <c r="F78" s="406"/>
      <c r="G78" s="406"/>
      <c r="J78" s="70">
        <v>223</v>
      </c>
    </row>
    <row r="79" spans="1:10" ht="45" customHeight="1" x14ac:dyDescent="0.25">
      <c r="A79" s="192" t="s">
        <v>442</v>
      </c>
      <c r="B79" s="192" t="s">
        <v>183</v>
      </c>
      <c r="C79" s="192" t="s">
        <v>535</v>
      </c>
      <c r="D79" s="192" t="s">
        <v>536</v>
      </c>
      <c r="E79" s="192" t="s">
        <v>537</v>
      </c>
      <c r="F79" s="192" t="s">
        <v>120</v>
      </c>
      <c r="G79" s="192" t="s">
        <v>759</v>
      </c>
      <c r="J79" s="94" t="s">
        <v>33</v>
      </c>
    </row>
    <row r="80" spans="1:10" ht="15" customHeight="1" x14ac:dyDescent="0.25">
      <c r="A80" s="192">
        <v>1</v>
      </c>
      <c r="B80" s="192">
        <v>2</v>
      </c>
      <c r="C80" s="192">
        <v>3</v>
      </c>
      <c r="D80" s="192">
        <v>4</v>
      </c>
      <c r="E80" s="192">
        <v>5</v>
      </c>
      <c r="F80" s="389">
        <v>6</v>
      </c>
      <c r="G80" s="389"/>
    </row>
    <row r="81" spans="1:10" ht="42.75" customHeight="1" x14ac:dyDescent="0.25">
      <c r="A81" s="185">
        <v>1</v>
      </c>
      <c r="B81" s="192" t="s">
        <v>760</v>
      </c>
      <c r="C81" s="185">
        <v>114.44499999999999</v>
      </c>
      <c r="D81" s="140">
        <v>2407.5300000000002</v>
      </c>
      <c r="E81" s="185"/>
      <c r="F81" s="133">
        <f>ROUND(C81*D81,0)</f>
        <v>275530</v>
      </c>
      <c r="G81" s="133">
        <f>F81</f>
        <v>275530</v>
      </c>
    </row>
    <row r="82" spans="1:10" ht="43.5" customHeight="1" x14ac:dyDescent="0.25">
      <c r="A82" s="185">
        <v>2</v>
      </c>
      <c r="B82" s="192" t="s">
        <v>761</v>
      </c>
      <c r="C82" s="205">
        <v>122.72669302702521</v>
      </c>
      <c r="D82" s="140">
        <v>2407.5300000000002</v>
      </c>
      <c r="E82" s="192"/>
      <c r="F82" s="133">
        <f>ROUND(C82*D82,2)+1.8</f>
        <v>295470</v>
      </c>
      <c r="G82" s="133">
        <f>F82</f>
        <v>295470</v>
      </c>
      <c r="H82" s="93" t="e">
        <f>H83-F83</f>
        <v>#REF!</v>
      </c>
      <c r="I82" s="93">
        <f>I83-G83</f>
        <v>0</v>
      </c>
    </row>
    <row r="83" spans="1:10" s="118" customFormat="1" ht="15.75" customHeight="1" x14ac:dyDescent="0.25">
      <c r="A83" s="189"/>
      <c r="B83" s="193" t="s">
        <v>603</v>
      </c>
      <c r="C83" s="192" t="s">
        <v>451</v>
      </c>
      <c r="D83" s="192" t="s">
        <v>451</v>
      </c>
      <c r="E83" s="192" t="s">
        <v>451</v>
      </c>
      <c r="F83" s="150">
        <f>SUM(F81:F82)</f>
        <v>571000</v>
      </c>
      <c r="G83" s="150">
        <f>SUM(G81:G82)</f>
        <v>571000</v>
      </c>
      <c r="H83" s="93" t="e">
        <f>#REF!</f>
        <v>#REF!</v>
      </c>
      <c r="I83" s="70">
        <f>'р.3 2021'!H105</f>
        <v>571000</v>
      </c>
      <c r="J83" s="93" t="e">
        <f>H83-I83</f>
        <v>#REF!</v>
      </c>
    </row>
    <row r="84" spans="1:10" s="145" customFormat="1" ht="6" customHeight="1" x14ac:dyDescent="0.25">
      <c r="A84" s="141"/>
      <c r="B84" s="94"/>
      <c r="C84" s="141"/>
      <c r="D84" s="142"/>
      <c r="E84" s="94"/>
      <c r="F84" s="143"/>
      <c r="G84" s="168"/>
      <c r="H84" s="144"/>
      <c r="J84" s="144"/>
    </row>
    <row r="85" spans="1:10" ht="32.25" customHeight="1" x14ac:dyDescent="0.25">
      <c r="A85" s="345" t="s">
        <v>69</v>
      </c>
      <c r="B85" s="345"/>
      <c r="C85" s="345"/>
      <c r="D85" s="345"/>
      <c r="E85" s="345"/>
      <c r="F85" s="345"/>
      <c r="G85" s="227"/>
      <c r="H85" s="93"/>
      <c r="J85" s="93"/>
    </row>
    <row r="86" spans="1:10" ht="44.25" customHeight="1" x14ac:dyDescent="0.25">
      <c r="A86" s="192" t="s">
        <v>442</v>
      </c>
      <c r="B86" s="192" t="s">
        <v>183</v>
      </c>
      <c r="C86" s="192" t="s">
        <v>535</v>
      </c>
      <c r="D86" s="192" t="s">
        <v>536</v>
      </c>
      <c r="E86" s="192" t="s">
        <v>537</v>
      </c>
      <c r="F86" s="192" t="s">
        <v>120</v>
      </c>
      <c r="G86" s="192" t="s">
        <v>759</v>
      </c>
      <c r="H86" s="93"/>
      <c r="J86" s="93"/>
    </row>
    <row r="87" spans="1:10" ht="11.25" customHeight="1" x14ac:dyDescent="0.25">
      <c r="A87" s="192">
        <v>1</v>
      </c>
      <c r="B87" s="192">
        <v>2</v>
      </c>
      <c r="C87" s="192">
        <v>3</v>
      </c>
      <c r="D87" s="192">
        <v>4</v>
      </c>
      <c r="E87" s="192">
        <v>5</v>
      </c>
      <c r="F87" s="389">
        <v>6</v>
      </c>
      <c r="G87" s="389"/>
      <c r="H87" s="93"/>
      <c r="J87" s="93"/>
    </row>
    <row r="88" spans="1:10" ht="60.75" customHeight="1" x14ac:dyDescent="0.25">
      <c r="A88" s="196">
        <v>3</v>
      </c>
      <c r="B88" s="151" t="s">
        <v>762</v>
      </c>
      <c r="C88" s="200">
        <v>16288.710482035851</v>
      </c>
      <c r="D88" s="152">
        <v>3.81</v>
      </c>
      <c r="E88" s="151"/>
      <c r="F88" s="200">
        <f>ROUND(C88*D88,2)</f>
        <v>62059.99</v>
      </c>
      <c r="G88" s="200">
        <f>F88</f>
        <v>62059.99</v>
      </c>
      <c r="H88" s="93"/>
    </row>
    <row r="89" spans="1:10" ht="59.25" customHeight="1" x14ac:dyDescent="0.25">
      <c r="A89" s="185">
        <v>4</v>
      </c>
      <c r="B89" s="192" t="s">
        <v>763</v>
      </c>
      <c r="C89" s="205">
        <v>31506.565528016778</v>
      </c>
      <c r="D89" s="140">
        <v>3.81</v>
      </c>
      <c r="E89" s="192"/>
      <c r="F89" s="133">
        <f>ROUND(C89*D89,2)</f>
        <v>120040.01</v>
      </c>
      <c r="G89" s="133">
        <f>F89</f>
        <v>120040.01</v>
      </c>
    </row>
    <row r="90" spans="1:10" ht="16.5" customHeight="1" x14ac:dyDescent="0.25">
      <c r="A90" s="185"/>
      <c r="B90" s="192" t="s">
        <v>450</v>
      </c>
      <c r="C90" s="192" t="s">
        <v>451</v>
      </c>
      <c r="D90" s="192" t="s">
        <v>451</v>
      </c>
      <c r="E90" s="192" t="s">
        <v>451</v>
      </c>
      <c r="F90" s="150">
        <f>SUM(F88:F89)</f>
        <v>182100</v>
      </c>
      <c r="G90" s="150">
        <f>SUM(G88:G89)</f>
        <v>182100</v>
      </c>
      <c r="H90" s="93" t="e">
        <f>#REF!</f>
        <v>#REF!</v>
      </c>
      <c r="I90" s="70">
        <f>'р.3 2021'!H106</f>
        <v>182099.99999999997</v>
      </c>
      <c r="J90" s="93" t="e">
        <f>H90-I90</f>
        <v>#REF!</v>
      </c>
    </row>
    <row r="91" spans="1:10" s="126" customFormat="1" ht="20.25" customHeight="1" x14ac:dyDescent="0.25">
      <c r="A91" s="141"/>
      <c r="B91" s="94"/>
      <c r="C91" s="94"/>
      <c r="D91" s="94"/>
      <c r="E91" s="94"/>
      <c r="F91" s="143"/>
      <c r="G91" s="169"/>
      <c r="H91" s="128"/>
      <c r="J91" s="128"/>
    </row>
    <row r="92" spans="1:10" s="126" customFormat="1" ht="28.5" customHeight="1" x14ac:dyDescent="0.25">
      <c r="A92" s="406" t="s">
        <v>70</v>
      </c>
      <c r="B92" s="406"/>
      <c r="C92" s="406"/>
      <c r="D92" s="406"/>
      <c r="E92" s="406"/>
      <c r="F92" s="406"/>
      <c r="G92" s="406"/>
      <c r="H92" s="128"/>
      <c r="J92" s="128"/>
    </row>
    <row r="93" spans="1:10" s="126" customFormat="1" ht="48" customHeight="1" x14ac:dyDescent="0.25">
      <c r="A93" s="192" t="s">
        <v>442</v>
      </c>
      <c r="B93" s="192" t="s">
        <v>183</v>
      </c>
      <c r="C93" s="192" t="s">
        <v>535</v>
      </c>
      <c r="D93" s="192" t="s">
        <v>536</v>
      </c>
      <c r="E93" s="192" t="s">
        <v>537</v>
      </c>
      <c r="F93" s="192" t="s">
        <v>120</v>
      </c>
      <c r="G93" s="192" t="s">
        <v>759</v>
      </c>
      <c r="H93" s="128"/>
      <c r="J93" s="128"/>
    </row>
    <row r="94" spans="1:10" s="126" customFormat="1" ht="12" customHeight="1" x14ac:dyDescent="0.25">
      <c r="A94" s="192">
        <v>1</v>
      </c>
      <c r="B94" s="192">
        <v>2</v>
      </c>
      <c r="C94" s="192">
        <v>3</v>
      </c>
      <c r="D94" s="192">
        <v>4</v>
      </c>
      <c r="E94" s="192">
        <v>5</v>
      </c>
      <c r="F94" s="389">
        <v>6</v>
      </c>
      <c r="G94" s="389"/>
      <c r="H94" s="128"/>
      <c r="J94" s="128"/>
    </row>
    <row r="95" spans="1:10" ht="78" customHeight="1" x14ac:dyDescent="0.25">
      <c r="A95" s="196">
        <v>5</v>
      </c>
      <c r="B95" s="151" t="s">
        <v>764</v>
      </c>
      <c r="C95" s="206">
        <v>73.305925925925919</v>
      </c>
      <c r="D95" s="152">
        <v>67.5</v>
      </c>
      <c r="E95" s="151"/>
      <c r="F95" s="133">
        <f>ROUND(C95*D95,0)</f>
        <v>4948</v>
      </c>
      <c r="G95" s="133">
        <f>F95</f>
        <v>4948</v>
      </c>
      <c r="H95" s="93"/>
    </row>
    <row r="96" spans="1:10" ht="78.75" customHeight="1" x14ac:dyDescent="0.25">
      <c r="A96" s="185">
        <v>6</v>
      </c>
      <c r="B96" s="192" t="s">
        <v>765</v>
      </c>
      <c r="C96" s="204">
        <v>98.538459943733045</v>
      </c>
      <c r="D96" s="140">
        <v>67.5</v>
      </c>
      <c r="E96" s="192"/>
      <c r="F96" s="133">
        <f>ROUND(C96*D96,0)+1</f>
        <v>6652</v>
      </c>
      <c r="G96" s="133">
        <f>F96</f>
        <v>6652</v>
      </c>
      <c r="H96" s="93" t="e">
        <f>F97-H97</f>
        <v>#REF!</v>
      </c>
      <c r="I96" s="93">
        <f>G97-I97</f>
        <v>0</v>
      </c>
    </row>
    <row r="97" spans="1:10" ht="20.25" customHeight="1" x14ac:dyDescent="0.25">
      <c r="A97" s="185"/>
      <c r="B97" s="192" t="s">
        <v>450</v>
      </c>
      <c r="C97" s="192" t="s">
        <v>451</v>
      </c>
      <c r="D97" s="192" t="s">
        <v>451</v>
      </c>
      <c r="E97" s="192" t="s">
        <v>451</v>
      </c>
      <c r="F97" s="150">
        <f>SUM(F95:F96)</f>
        <v>11600</v>
      </c>
      <c r="G97" s="150">
        <f>SUM(G95:G96)</f>
        <v>11600</v>
      </c>
      <c r="H97" s="93" t="e">
        <f>#REF!</f>
        <v>#REF!</v>
      </c>
      <c r="I97" s="70">
        <f>'р.3 2021'!H107</f>
        <v>11600.000000000002</v>
      </c>
      <c r="J97" s="93" t="e">
        <f>H97-I97</f>
        <v>#REF!</v>
      </c>
    </row>
    <row r="98" spans="1:10" ht="20.25" customHeight="1" x14ac:dyDescent="0.25">
      <c r="A98" s="141"/>
      <c r="B98" s="94"/>
      <c r="C98" s="94"/>
      <c r="D98" s="94"/>
      <c r="E98" s="94"/>
      <c r="F98" s="153"/>
      <c r="G98" s="227"/>
      <c r="H98" s="93"/>
      <c r="J98" s="93"/>
    </row>
    <row r="99" spans="1:10" s="126" customFormat="1" ht="30.75" customHeight="1" x14ac:dyDescent="0.25">
      <c r="A99" s="345" t="s">
        <v>71</v>
      </c>
      <c r="B99" s="345"/>
      <c r="C99" s="345"/>
      <c r="D99" s="345"/>
      <c r="E99" s="345"/>
      <c r="F99" s="345"/>
      <c r="G99" s="345"/>
      <c r="H99" s="128"/>
      <c r="J99" s="128"/>
    </row>
    <row r="100" spans="1:10" ht="46.5" customHeight="1" x14ac:dyDescent="0.25">
      <c r="A100" s="192" t="s">
        <v>442</v>
      </c>
      <c r="B100" s="192" t="s">
        <v>183</v>
      </c>
      <c r="C100" s="192" t="s">
        <v>535</v>
      </c>
      <c r="D100" s="192" t="s">
        <v>536</v>
      </c>
      <c r="E100" s="192" t="s">
        <v>537</v>
      </c>
      <c r="F100" s="192" t="s">
        <v>121</v>
      </c>
      <c r="G100" s="192" t="s">
        <v>768</v>
      </c>
      <c r="H100" s="93"/>
      <c r="J100" s="93"/>
    </row>
    <row r="101" spans="1:10" ht="10.5" customHeight="1" x14ac:dyDescent="0.25">
      <c r="A101" s="192">
        <v>1</v>
      </c>
      <c r="B101" s="192">
        <v>2</v>
      </c>
      <c r="C101" s="192">
        <v>3</v>
      </c>
      <c r="D101" s="192">
        <v>4</v>
      </c>
      <c r="E101" s="192">
        <v>5</v>
      </c>
      <c r="F101" s="409">
        <v>6</v>
      </c>
      <c r="G101" s="410"/>
      <c r="H101" s="93"/>
      <c r="J101" s="93"/>
    </row>
    <row r="102" spans="1:10" ht="75.75" customHeight="1" x14ac:dyDescent="0.25">
      <c r="A102" s="185">
        <v>7</v>
      </c>
      <c r="B102" s="192" t="s">
        <v>766</v>
      </c>
      <c r="C102" s="205">
        <v>70.979912865035473</v>
      </c>
      <c r="D102" s="140">
        <v>83.8</v>
      </c>
      <c r="E102" s="192"/>
      <c r="F102" s="133">
        <f>ROUND(C102*D102,0)</f>
        <v>5948</v>
      </c>
      <c r="G102" s="133">
        <f>F102</f>
        <v>5948</v>
      </c>
      <c r="H102" s="93"/>
    </row>
    <row r="103" spans="1:10" ht="70.5" customHeight="1" x14ac:dyDescent="0.25">
      <c r="A103" s="185">
        <v>8</v>
      </c>
      <c r="B103" s="192" t="s">
        <v>767</v>
      </c>
      <c r="C103" s="205">
        <v>96.080811428571423</v>
      </c>
      <c r="D103" s="133">
        <v>83.8</v>
      </c>
      <c r="E103" s="185"/>
      <c r="F103" s="133">
        <f>ROUND(C103*D103,0)</f>
        <v>8052</v>
      </c>
      <c r="G103" s="133">
        <f>F103</f>
        <v>8052</v>
      </c>
      <c r="H103" s="90" t="e">
        <f>H106-F106</f>
        <v>#REF!</v>
      </c>
      <c r="I103" s="90">
        <f>I106-G106</f>
        <v>0</v>
      </c>
    </row>
    <row r="104" spans="1:10" ht="15" hidden="1" customHeight="1" x14ac:dyDescent="0.25">
      <c r="A104" s="192"/>
      <c r="B104" s="192"/>
      <c r="C104" s="192"/>
      <c r="D104" s="117"/>
      <c r="E104" s="192"/>
      <c r="F104" s="117"/>
      <c r="G104" s="227"/>
    </row>
    <row r="105" spans="1:10" ht="15" hidden="1" customHeight="1" x14ac:dyDescent="0.25">
      <c r="A105" s="192"/>
      <c r="B105" s="192"/>
      <c r="C105" s="192"/>
      <c r="D105" s="117"/>
      <c r="E105" s="192"/>
      <c r="F105" s="117"/>
      <c r="G105" s="227"/>
    </row>
    <row r="106" spans="1:10" ht="15" customHeight="1" x14ac:dyDescent="0.25">
      <c r="A106" s="192"/>
      <c r="B106" s="148" t="s">
        <v>450</v>
      </c>
      <c r="C106" s="192" t="s">
        <v>451</v>
      </c>
      <c r="D106" s="192" t="s">
        <v>451</v>
      </c>
      <c r="E106" s="192" t="s">
        <v>451</v>
      </c>
      <c r="F106" s="117">
        <f>SUM(F102:F105)</f>
        <v>14000</v>
      </c>
      <c r="G106" s="117">
        <f>SUM(G102:G105)</f>
        <v>14000</v>
      </c>
      <c r="H106" s="115" t="e">
        <f>#REF!</f>
        <v>#REF!</v>
      </c>
      <c r="I106" s="115">
        <f>'р.3 2021'!H108</f>
        <v>13999.999999999996</v>
      </c>
      <c r="J106" s="90" t="e">
        <f>I106-H106</f>
        <v>#REF!</v>
      </c>
    </row>
    <row r="107" spans="1:10" ht="9" customHeight="1" x14ac:dyDescent="0.25">
      <c r="G107" s="227"/>
    </row>
    <row r="108" spans="1:10" ht="15.75" hidden="1" x14ac:dyDescent="0.25">
      <c r="A108" s="308" t="s">
        <v>539</v>
      </c>
      <c r="B108" s="308"/>
      <c r="C108" s="308"/>
      <c r="D108" s="308"/>
      <c r="E108" s="308"/>
      <c r="F108" s="308"/>
      <c r="G108" s="227"/>
    </row>
    <row r="109" spans="1:10" hidden="1" x14ac:dyDescent="0.25">
      <c r="G109" s="227"/>
      <c r="J109" s="70">
        <v>224</v>
      </c>
    </row>
    <row r="110" spans="1:10" ht="35.1" hidden="1" customHeight="1" x14ac:dyDescent="0.25">
      <c r="A110" s="192" t="s">
        <v>442</v>
      </c>
      <c r="B110" s="302" t="s">
        <v>183</v>
      </c>
      <c r="C110" s="302"/>
      <c r="D110" s="192" t="s">
        <v>540</v>
      </c>
      <c r="E110" s="192" t="s">
        <v>541</v>
      </c>
      <c r="F110" s="192" t="s">
        <v>542</v>
      </c>
      <c r="G110" s="227"/>
    </row>
    <row r="111" spans="1:10" ht="15" hidden="1" customHeight="1" x14ac:dyDescent="0.25">
      <c r="A111" s="192">
        <v>1</v>
      </c>
      <c r="B111" s="302">
        <v>2</v>
      </c>
      <c r="C111" s="302"/>
      <c r="D111" s="192">
        <v>3</v>
      </c>
      <c r="E111" s="192">
        <v>4</v>
      </c>
      <c r="F111" s="192">
        <v>5</v>
      </c>
      <c r="G111" s="227"/>
    </row>
    <row r="112" spans="1:10" ht="15" hidden="1" customHeight="1" x14ac:dyDescent="0.25">
      <c r="A112" s="192"/>
      <c r="B112" s="302"/>
      <c r="C112" s="302"/>
      <c r="D112" s="192"/>
      <c r="E112" s="192"/>
      <c r="F112" s="192"/>
      <c r="G112" s="227"/>
    </row>
    <row r="113" spans="1:11" ht="15" hidden="1" customHeight="1" x14ac:dyDescent="0.25">
      <c r="A113" s="192"/>
      <c r="B113" s="302" t="s">
        <v>450</v>
      </c>
      <c r="C113" s="302"/>
      <c r="D113" s="192" t="s">
        <v>451</v>
      </c>
      <c r="E113" s="192" t="s">
        <v>451</v>
      </c>
      <c r="F113" s="192" t="s">
        <v>451</v>
      </c>
      <c r="G113" s="227"/>
    </row>
    <row r="114" spans="1:11" ht="16.5" hidden="1" customHeight="1" x14ac:dyDescent="0.25">
      <c r="G114" s="227"/>
    </row>
    <row r="115" spans="1:11" ht="15.75" x14ac:dyDescent="0.25">
      <c r="A115" s="308" t="s">
        <v>543</v>
      </c>
      <c r="B115" s="308"/>
      <c r="C115" s="308"/>
      <c r="D115" s="308"/>
      <c r="E115" s="308"/>
      <c r="F115" s="308"/>
      <c r="G115" s="308"/>
      <c r="J115" s="70">
        <v>225</v>
      </c>
    </row>
    <row r="116" spans="1:11" ht="15.75" x14ac:dyDescent="0.25">
      <c r="A116" s="308" t="s">
        <v>544</v>
      </c>
      <c r="B116" s="308"/>
      <c r="C116" s="308"/>
      <c r="D116" s="308"/>
      <c r="E116" s="308"/>
      <c r="F116" s="308"/>
      <c r="G116" s="308"/>
    </row>
    <row r="117" spans="1:11" ht="9" hidden="1" customHeight="1" x14ac:dyDescent="0.25">
      <c r="A117" s="188"/>
      <c r="B117" s="188"/>
      <c r="C117" s="188"/>
      <c r="D117" s="188"/>
      <c r="E117" s="188"/>
      <c r="F117" s="188"/>
      <c r="G117" s="227"/>
    </row>
    <row r="118" spans="1:11" ht="23.25" hidden="1" customHeight="1" x14ac:dyDescent="0.25">
      <c r="A118" s="307" t="s">
        <v>83</v>
      </c>
      <c r="B118" s="307"/>
      <c r="C118" s="307"/>
      <c r="D118" s="307"/>
      <c r="E118" s="307"/>
      <c r="F118" s="307"/>
      <c r="G118" s="307"/>
    </row>
    <row r="119" spans="1:11" hidden="1" x14ac:dyDescent="0.25">
      <c r="G119" s="227"/>
    </row>
    <row r="120" spans="1:11" ht="45" hidden="1" customHeight="1" x14ac:dyDescent="0.25">
      <c r="A120" s="192" t="s">
        <v>442</v>
      </c>
      <c r="B120" s="302" t="s">
        <v>454</v>
      </c>
      <c r="C120" s="302"/>
      <c r="D120" s="192" t="s">
        <v>545</v>
      </c>
      <c r="E120" s="192" t="s">
        <v>546</v>
      </c>
      <c r="F120" s="192" t="s">
        <v>122</v>
      </c>
      <c r="G120" s="192" t="s">
        <v>123</v>
      </c>
      <c r="K120" s="207"/>
    </row>
    <row r="121" spans="1:11" ht="15" hidden="1" customHeight="1" x14ac:dyDescent="0.25">
      <c r="A121" s="192">
        <v>1</v>
      </c>
      <c r="B121" s="302">
        <v>2</v>
      </c>
      <c r="C121" s="302"/>
      <c r="D121" s="192">
        <v>3</v>
      </c>
      <c r="E121" s="192">
        <v>4</v>
      </c>
      <c r="F121" s="409">
        <v>5</v>
      </c>
      <c r="G121" s="410"/>
    </row>
    <row r="122" spans="1:11" s="92" customFormat="1" ht="45" hidden="1" customHeight="1" x14ac:dyDescent="0.25">
      <c r="A122" s="185">
        <v>1</v>
      </c>
      <c r="B122" s="320" t="s">
        <v>40</v>
      </c>
      <c r="C122" s="320"/>
      <c r="D122" s="185" t="s">
        <v>39</v>
      </c>
      <c r="E122" s="185">
        <v>1</v>
      </c>
      <c r="F122" s="133">
        <v>599757.72</v>
      </c>
      <c r="G122" s="133">
        <f>F122</f>
        <v>599757.72</v>
      </c>
      <c r="I122" s="119"/>
    </row>
    <row r="123" spans="1:11" s="118" customFormat="1" ht="15" hidden="1" customHeight="1" x14ac:dyDescent="0.25">
      <c r="A123" s="193"/>
      <c r="B123" s="360" t="s">
        <v>450</v>
      </c>
      <c r="C123" s="360"/>
      <c r="D123" s="193" t="s">
        <v>451</v>
      </c>
      <c r="E123" s="193" t="s">
        <v>451</v>
      </c>
      <c r="F123" s="154">
        <f>SUM(F122:F122)</f>
        <v>599757.72</v>
      </c>
      <c r="G123" s="154">
        <f>SUM(G122:G122)</f>
        <v>599757.72</v>
      </c>
      <c r="I123" s="119"/>
    </row>
    <row r="124" spans="1:11" hidden="1" x14ac:dyDescent="0.25">
      <c r="G124" s="227"/>
    </row>
    <row r="125" spans="1:11" ht="33.75" hidden="1" customHeight="1" x14ac:dyDescent="0.25">
      <c r="A125" s="307" t="s">
        <v>34</v>
      </c>
      <c r="B125" s="307"/>
      <c r="C125" s="307"/>
      <c r="D125" s="307"/>
      <c r="E125" s="307"/>
      <c r="F125" s="307"/>
      <c r="G125" s="307"/>
    </row>
    <row r="126" spans="1:11" hidden="1" x14ac:dyDescent="0.25">
      <c r="G126" s="227"/>
    </row>
    <row r="127" spans="1:11" ht="45" hidden="1" x14ac:dyDescent="0.25">
      <c r="A127" s="192" t="s">
        <v>442</v>
      </c>
      <c r="B127" s="302" t="s">
        <v>454</v>
      </c>
      <c r="C127" s="302"/>
      <c r="D127" s="192" t="s">
        <v>545</v>
      </c>
      <c r="E127" s="192" t="s">
        <v>546</v>
      </c>
      <c r="F127" s="192" t="s">
        <v>122</v>
      </c>
      <c r="G127" s="192" t="s">
        <v>123</v>
      </c>
    </row>
    <row r="128" spans="1:11" hidden="1" x14ac:dyDescent="0.25">
      <c r="A128" s="192">
        <v>1</v>
      </c>
      <c r="B128" s="302">
        <v>2</v>
      </c>
      <c r="C128" s="302"/>
      <c r="D128" s="192">
        <v>3</v>
      </c>
      <c r="E128" s="192">
        <v>4</v>
      </c>
      <c r="F128" s="389">
        <v>5</v>
      </c>
      <c r="G128" s="389"/>
    </row>
    <row r="129" spans="1:9" ht="30" hidden="1" customHeight="1" x14ac:dyDescent="0.25">
      <c r="A129" s="185">
        <v>1</v>
      </c>
      <c r="B129" s="320" t="s">
        <v>38</v>
      </c>
      <c r="C129" s="320"/>
      <c r="D129" s="185" t="s">
        <v>39</v>
      </c>
      <c r="E129" s="185">
        <v>1</v>
      </c>
      <c r="F129" s="133"/>
      <c r="G129" s="133"/>
    </row>
    <row r="130" spans="1:9" hidden="1" x14ac:dyDescent="0.25">
      <c r="A130" s="193"/>
      <c r="B130" s="360" t="s">
        <v>450</v>
      </c>
      <c r="C130" s="360"/>
      <c r="D130" s="193" t="s">
        <v>451</v>
      </c>
      <c r="E130" s="193" t="s">
        <v>451</v>
      </c>
      <c r="F130" s="154">
        <f>SUM(F129:F129)</f>
        <v>0</v>
      </c>
      <c r="G130" s="154">
        <f>SUM(G129:G129)</f>
        <v>0</v>
      </c>
      <c r="H130" s="70">
        <f>'р.3 2019'!D116</f>
        <v>355005</v>
      </c>
      <c r="I130" s="93">
        <f>F130-H130</f>
        <v>-355005</v>
      </c>
    </row>
    <row r="131" spans="1:9" hidden="1" x14ac:dyDescent="0.25">
      <c r="A131" s="120"/>
      <c r="B131" s="121"/>
      <c r="C131" s="121"/>
      <c r="D131" s="120"/>
      <c r="E131" s="120"/>
      <c r="F131" s="122"/>
      <c r="G131" s="227"/>
    </row>
    <row r="132" spans="1:9" s="126" customFormat="1" ht="30" customHeight="1" x14ac:dyDescent="0.25">
      <c r="A132" s="307" t="s">
        <v>35</v>
      </c>
      <c r="B132" s="307"/>
      <c r="C132" s="307"/>
      <c r="D132" s="307"/>
      <c r="E132" s="307"/>
      <c r="F132" s="307"/>
      <c r="G132" s="307"/>
    </row>
    <row r="133" spans="1:9" s="126" customFormat="1" ht="45" x14ac:dyDescent="0.25">
      <c r="A133" s="192" t="s">
        <v>442</v>
      </c>
      <c r="B133" s="302" t="s">
        <v>454</v>
      </c>
      <c r="C133" s="302"/>
      <c r="D133" s="192" t="s">
        <v>545</v>
      </c>
      <c r="E133" s="192" t="s">
        <v>546</v>
      </c>
      <c r="F133" s="192" t="s">
        <v>123</v>
      </c>
      <c r="G133" s="192" t="s">
        <v>769</v>
      </c>
    </row>
    <row r="134" spans="1:9" s="126" customFormat="1" x14ac:dyDescent="0.25">
      <c r="A134" s="192">
        <v>1</v>
      </c>
      <c r="B134" s="302">
        <v>2</v>
      </c>
      <c r="C134" s="302"/>
      <c r="D134" s="192">
        <v>3</v>
      </c>
      <c r="E134" s="192">
        <v>4</v>
      </c>
      <c r="F134" s="409">
        <v>5</v>
      </c>
      <c r="G134" s="410"/>
    </row>
    <row r="135" spans="1:9" s="126" customFormat="1" ht="40.5" customHeight="1" x14ac:dyDescent="0.25">
      <c r="A135" s="192">
        <v>1</v>
      </c>
      <c r="B135" s="370" t="s">
        <v>736</v>
      </c>
      <c r="C135" s="371"/>
      <c r="D135" s="334" t="s">
        <v>36</v>
      </c>
      <c r="E135" s="185">
        <v>2</v>
      </c>
      <c r="F135" s="140">
        <v>13352.45</v>
      </c>
      <c r="G135" s="140">
        <f>F135</f>
        <v>13352.45</v>
      </c>
    </row>
    <row r="136" spans="1:9" s="127" customFormat="1" ht="46.5" customHeight="1" x14ac:dyDescent="0.4">
      <c r="A136" s="147">
        <v>2</v>
      </c>
      <c r="B136" s="370" t="s">
        <v>733</v>
      </c>
      <c r="C136" s="371"/>
      <c r="D136" s="369"/>
      <c r="E136" s="185">
        <v>12</v>
      </c>
      <c r="F136" s="133">
        <f>ROUND((3896.85+1513.33)*12,2)</f>
        <v>64922.16</v>
      </c>
      <c r="G136" s="140">
        <f t="shared" ref="G136:G139" si="0">F136</f>
        <v>64922.16</v>
      </c>
      <c r="H136" s="132"/>
    </row>
    <row r="137" spans="1:9" s="127" customFormat="1" ht="46.5" customHeight="1" x14ac:dyDescent="0.4">
      <c r="A137" s="147">
        <v>3</v>
      </c>
      <c r="B137" s="375" t="s">
        <v>734</v>
      </c>
      <c r="C137" s="376"/>
      <c r="D137" s="369"/>
      <c r="E137" s="195">
        <v>12</v>
      </c>
      <c r="F137" s="199">
        <f>ROUND((80.85+115.5)*12,2)</f>
        <v>2356.1999999999998</v>
      </c>
      <c r="G137" s="140">
        <f t="shared" si="0"/>
        <v>2356.1999999999998</v>
      </c>
      <c r="H137" s="132"/>
    </row>
    <row r="138" spans="1:9" s="127" customFormat="1" ht="15.75" customHeight="1" x14ac:dyDescent="0.25">
      <c r="A138" s="147">
        <v>4</v>
      </c>
      <c r="B138" s="370" t="s">
        <v>737</v>
      </c>
      <c r="C138" s="371"/>
      <c r="D138" s="369"/>
      <c r="E138" s="195">
        <v>1</v>
      </c>
      <c r="F138" s="199">
        <v>8729.31</v>
      </c>
      <c r="G138" s="140">
        <f t="shared" si="0"/>
        <v>8729.31</v>
      </c>
    </row>
    <row r="139" spans="1:9" s="127" customFormat="1" ht="54.75" customHeight="1" x14ac:dyDescent="0.25">
      <c r="A139" s="147">
        <v>5</v>
      </c>
      <c r="B139" s="375" t="s">
        <v>735</v>
      </c>
      <c r="C139" s="376"/>
      <c r="D139" s="322"/>
      <c r="E139" s="195">
        <v>12</v>
      </c>
      <c r="F139" s="199">
        <f>ROUND((25.49+94.5)*12,2)</f>
        <v>1439.88</v>
      </c>
      <c r="G139" s="140">
        <f t="shared" si="0"/>
        <v>1439.88</v>
      </c>
      <c r="H139" s="213" t="e">
        <f>F140-H140</f>
        <v>#REF!</v>
      </c>
      <c r="I139" s="213">
        <f>G140-I140</f>
        <v>0</v>
      </c>
    </row>
    <row r="140" spans="1:9" s="126" customFormat="1" x14ac:dyDescent="0.25">
      <c r="A140" s="193"/>
      <c r="B140" s="360" t="s">
        <v>450</v>
      </c>
      <c r="C140" s="360"/>
      <c r="D140" s="193" t="s">
        <v>451</v>
      </c>
      <c r="E140" s="193" t="s">
        <v>451</v>
      </c>
      <c r="F140" s="154">
        <f>SUM(F135:F139)</f>
        <v>90800</v>
      </c>
      <c r="G140" s="154">
        <f>SUM(G135:G139)</f>
        <v>90800</v>
      </c>
      <c r="H140" s="128" t="e">
        <f>#REF!</f>
        <v>#REF!</v>
      </c>
      <c r="I140" s="128">
        <f>'р.3 2021'!H112</f>
        <v>90800</v>
      </c>
    </row>
    <row r="141" spans="1:9" s="126" customFormat="1" x14ac:dyDescent="0.25">
      <c r="A141" s="123"/>
      <c r="B141" s="124"/>
      <c r="C141" s="124"/>
      <c r="D141" s="123"/>
      <c r="E141" s="123"/>
      <c r="F141" s="125"/>
      <c r="G141" s="169"/>
    </row>
    <row r="142" spans="1:9" s="126" customFormat="1" ht="20.25" customHeight="1" x14ac:dyDescent="0.25">
      <c r="A142" s="307" t="s">
        <v>37</v>
      </c>
      <c r="B142" s="307"/>
      <c r="C142" s="307"/>
      <c r="D142" s="307"/>
      <c r="E142" s="307"/>
      <c r="F142" s="307"/>
      <c r="G142" s="307"/>
    </row>
    <row r="143" spans="1:9" s="126" customFormat="1" ht="8.25" customHeight="1" x14ac:dyDescent="0.25">
      <c r="A143" s="70"/>
      <c r="B143" s="70"/>
      <c r="C143" s="70"/>
      <c r="D143" s="70"/>
      <c r="E143" s="70"/>
      <c r="F143" s="70"/>
      <c r="G143" s="169"/>
    </row>
    <row r="144" spans="1:9" s="126" customFormat="1" ht="45" x14ac:dyDescent="0.25">
      <c r="A144" s="192" t="s">
        <v>442</v>
      </c>
      <c r="B144" s="302" t="s">
        <v>454</v>
      </c>
      <c r="C144" s="302"/>
      <c r="D144" s="192" t="s">
        <v>545</v>
      </c>
      <c r="E144" s="192" t="s">
        <v>546</v>
      </c>
      <c r="F144" s="192" t="s">
        <v>123</v>
      </c>
      <c r="G144" s="192" t="s">
        <v>769</v>
      </c>
    </row>
    <row r="145" spans="1:10" s="126" customFormat="1" x14ac:dyDescent="0.25">
      <c r="A145" s="192">
        <v>1</v>
      </c>
      <c r="B145" s="302">
        <v>2</v>
      </c>
      <c r="C145" s="302"/>
      <c r="D145" s="192">
        <v>3</v>
      </c>
      <c r="E145" s="192">
        <v>4</v>
      </c>
      <c r="F145" s="389">
        <v>5</v>
      </c>
      <c r="G145" s="389"/>
    </row>
    <row r="146" spans="1:10" s="129" customFormat="1" ht="93" customHeight="1" x14ac:dyDescent="0.25">
      <c r="A146" s="185">
        <v>1</v>
      </c>
      <c r="B146" s="367" t="s">
        <v>738</v>
      </c>
      <c r="C146" s="368"/>
      <c r="D146" s="334" t="s">
        <v>36</v>
      </c>
      <c r="E146" s="185">
        <v>12</v>
      </c>
      <c r="F146" s="133">
        <f>ROUND(2031.69*12,2)-34.32</f>
        <v>24345.96</v>
      </c>
      <c r="G146" s="200">
        <f>F146</f>
        <v>24345.96</v>
      </c>
    </row>
    <row r="147" spans="1:10" s="129" customFormat="1" ht="62.25" hidden="1" customHeight="1" x14ac:dyDescent="0.25">
      <c r="A147" s="185">
        <v>2</v>
      </c>
      <c r="B147" s="370" t="s">
        <v>739</v>
      </c>
      <c r="C147" s="371"/>
      <c r="D147" s="369"/>
      <c r="E147" s="185">
        <v>12</v>
      </c>
      <c r="F147" s="133"/>
      <c r="G147" s="200">
        <f t="shared" ref="G147:G149" si="1">F147</f>
        <v>0</v>
      </c>
    </row>
    <row r="148" spans="1:10" s="129" customFormat="1" ht="62.25" customHeight="1" x14ac:dyDescent="0.25">
      <c r="A148" s="185">
        <v>3</v>
      </c>
      <c r="B148" s="370" t="s">
        <v>740</v>
      </c>
      <c r="C148" s="371"/>
      <c r="D148" s="369"/>
      <c r="E148" s="185">
        <v>12</v>
      </c>
      <c r="F148" s="133">
        <f>ROUND((1939+218)*12,2)</f>
        <v>25884</v>
      </c>
      <c r="G148" s="200">
        <f t="shared" si="1"/>
        <v>25884</v>
      </c>
    </row>
    <row r="149" spans="1:10" s="129" customFormat="1" ht="62.25" customHeight="1" x14ac:dyDescent="0.25">
      <c r="A149" s="185">
        <v>4</v>
      </c>
      <c r="B149" s="370" t="s">
        <v>741</v>
      </c>
      <c r="C149" s="371"/>
      <c r="D149" s="369"/>
      <c r="E149" s="185">
        <v>12</v>
      </c>
      <c r="F149" s="133">
        <f>ROUND(3514.17*12,2)</f>
        <v>42170.04</v>
      </c>
      <c r="G149" s="200">
        <f t="shared" si="1"/>
        <v>42170.04</v>
      </c>
      <c r="H149" s="214" t="e">
        <f>H150-F150</f>
        <v>#REF!</v>
      </c>
      <c r="I149" s="214">
        <f>I150-G150</f>
        <v>0</v>
      </c>
    </row>
    <row r="150" spans="1:10" s="126" customFormat="1" ht="15" customHeight="1" x14ac:dyDescent="0.25">
      <c r="A150" s="193"/>
      <c r="B150" s="407" t="s">
        <v>450</v>
      </c>
      <c r="C150" s="408"/>
      <c r="D150" s="193" t="s">
        <v>451</v>
      </c>
      <c r="E150" s="193" t="s">
        <v>451</v>
      </c>
      <c r="F150" s="154">
        <f>SUM(F146:F149)</f>
        <v>92400</v>
      </c>
      <c r="G150" s="154">
        <f>SUM(G146:G149)</f>
        <v>92400</v>
      </c>
      <c r="H150" s="126" t="e">
        <f>#REF!</f>
        <v>#REF!</v>
      </c>
      <c r="I150" s="128">
        <f>'р.3 2021'!H114</f>
        <v>92400</v>
      </c>
    </row>
    <row r="151" spans="1:10" s="126" customFormat="1" ht="16.5" customHeight="1" x14ac:dyDescent="0.25">
      <c r="A151" s="123"/>
      <c r="B151" s="124"/>
      <c r="C151" s="124"/>
      <c r="D151" s="123"/>
      <c r="E151" s="123"/>
      <c r="F151" s="125"/>
      <c r="G151" s="169"/>
    </row>
    <row r="152" spans="1:10" ht="19.5" hidden="1" customHeight="1" x14ac:dyDescent="0.25">
      <c r="A152" s="307" t="s">
        <v>52</v>
      </c>
      <c r="B152" s="307"/>
      <c r="C152" s="307"/>
      <c r="D152" s="307"/>
      <c r="E152" s="307"/>
      <c r="F152" s="307"/>
      <c r="G152" s="307"/>
    </row>
    <row r="153" spans="1:10" hidden="1" x14ac:dyDescent="0.25">
      <c r="G153" s="227"/>
      <c r="J153" s="70">
        <v>226</v>
      </c>
    </row>
    <row r="154" spans="1:10" ht="46.5" hidden="1" customHeight="1" x14ac:dyDescent="0.25">
      <c r="A154" s="192" t="s">
        <v>442</v>
      </c>
      <c r="B154" s="302" t="s">
        <v>454</v>
      </c>
      <c r="C154" s="302"/>
      <c r="D154" s="192" t="s">
        <v>545</v>
      </c>
      <c r="E154" s="192" t="s">
        <v>546</v>
      </c>
      <c r="F154" s="192" t="s">
        <v>122</v>
      </c>
      <c r="G154" s="192" t="s">
        <v>123</v>
      </c>
    </row>
    <row r="155" spans="1:10" ht="15" hidden="1" customHeight="1" x14ac:dyDescent="0.25">
      <c r="A155" s="192">
        <v>1</v>
      </c>
      <c r="B155" s="302">
        <v>2</v>
      </c>
      <c r="C155" s="302"/>
      <c r="D155" s="192">
        <v>3</v>
      </c>
      <c r="E155" s="192">
        <v>4</v>
      </c>
      <c r="F155" s="409">
        <v>5</v>
      </c>
      <c r="G155" s="410"/>
    </row>
    <row r="156" spans="1:10" ht="75.75" hidden="1" customHeight="1" x14ac:dyDescent="0.25">
      <c r="A156" s="185">
        <v>1</v>
      </c>
      <c r="B156" s="372" t="s">
        <v>43</v>
      </c>
      <c r="C156" s="373"/>
      <c r="D156" s="155" t="s">
        <v>36</v>
      </c>
      <c r="E156" s="185">
        <v>12</v>
      </c>
      <c r="F156" s="133"/>
      <c r="G156" s="133"/>
    </row>
    <row r="157" spans="1:10" ht="74.25" hidden="1" customHeight="1" x14ac:dyDescent="0.25">
      <c r="A157" s="147">
        <v>2</v>
      </c>
      <c r="B157" s="372" t="s">
        <v>45</v>
      </c>
      <c r="C157" s="373"/>
      <c r="D157" s="195" t="s">
        <v>44</v>
      </c>
      <c r="E157" s="185">
        <v>12</v>
      </c>
      <c r="F157" s="133"/>
      <c r="G157" s="133"/>
    </row>
    <row r="158" spans="1:10" ht="15" hidden="1" customHeight="1" x14ac:dyDescent="0.25">
      <c r="A158" s="193"/>
      <c r="B158" s="360" t="s">
        <v>450</v>
      </c>
      <c r="C158" s="360"/>
      <c r="D158" s="193" t="s">
        <v>451</v>
      </c>
      <c r="E158" s="193" t="s">
        <v>451</v>
      </c>
      <c r="F158" s="154">
        <f>SUM(F156:F157)</f>
        <v>0</v>
      </c>
      <c r="G158" s="154">
        <f>SUM(G156:G157)</f>
        <v>0</v>
      </c>
      <c r="H158" s="70">
        <f>'р.3 2019'!K119</f>
        <v>44600</v>
      </c>
      <c r="I158" s="93">
        <f>F158-H158</f>
        <v>-44600</v>
      </c>
    </row>
    <row r="159" spans="1:10" hidden="1" x14ac:dyDescent="0.25">
      <c r="A159" s="123"/>
      <c r="B159" s="124"/>
      <c r="C159" s="124"/>
      <c r="D159" s="123"/>
      <c r="E159" s="123"/>
      <c r="F159" s="125"/>
      <c r="G159" s="227"/>
    </row>
    <row r="160" spans="1:10" hidden="1" x14ac:dyDescent="0.25">
      <c r="A160" s="123"/>
      <c r="B160" s="124"/>
      <c r="C160" s="124"/>
      <c r="D160" s="123"/>
      <c r="E160" s="123"/>
      <c r="F160" s="125"/>
      <c r="G160" s="227"/>
      <c r="J160" s="70">
        <v>310.33999999999997</v>
      </c>
    </row>
    <row r="161" spans="1:9" ht="15.75" x14ac:dyDescent="0.25">
      <c r="A161" s="374" t="s">
        <v>548</v>
      </c>
      <c r="B161" s="374"/>
      <c r="C161" s="374"/>
      <c r="D161" s="374"/>
      <c r="E161" s="374"/>
      <c r="F161" s="374"/>
      <c r="G161" s="374"/>
    </row>
    <row r="162" spans="1:9" ht="8.25" customHeight="1" x14ac:dyDescent="0.25">
      <c r="A162" s="194"/>
      <c r="B162" s="194"/>
      <c r="C162" s="194"/>
      <c r="D162" s="194"/>
      <c r="E162" s="194"/>
      <c r="F162" s="194"/>
      <c r="G162" s="227"/>
    </row>
    <row r="163" spans="1:9" ht="47.25" hidden="1" customHeight="1" x14ac:dyDescent="0.25">
      <c r="A163" s="406" t="s">
        <v>46</v>
      </c>
      <c r="B163" s="406"/>
      <c r="C163" s="406"/>
      <c r="D163" s="406"/>
      <c r="E163" s="406"/>
      <c r="F163" s="406"/>
      <c r="G163" s="406"/>
    </row>
    <row r="164" spans="1:9" ht="16.5" hidden="1" customHeight="1" x14ac:dyDescent="0.25">
      <c r="A164" s="406" t="s">
        <v>50</v>
      </c>
      <c r="B164" s="406"/>
      <c r="C164" s="406"/>
      <c r="D164" s="406"/>
      <c r="E164" s="406"/>
      <c r="F164" s="406"/>
      <c r="G164" s="406"/>
    </row>
    <row r="165" spans="1:9" ht="27.75" hidden="1" customHeight="1" x14ac:dyDescent="0.25">
      <c r="A165" s="192" t="s">
        <v>442</v>
      </c>
      <c r="B165" s="302" t="s">
        <v>454</v>
      </c>
      <c r="C165" s="302"/>
      <c r="D165" s="302"/>
      <c r="E165" s="192" t="s">
        <v>549</v>
      </c>
      <c r="F165" s="192" t="s">
        <v>124</v>
      </c>
      <c r="G165" s="192" t="s">
        <v>125</v>
      </c>
    </row>
    <row r="166" spans="1:9" ht="15" hidden="1" customHeight="1" x14ac:dyDescent="0.25">
      <c r="A166" s="192">
        <v>1</v>
      </c>
      <c r="B166" s="302">
        <v>2</v>
      </c>
      <c r="C166" s="302"/>
      <c r="D166" s="302"/>
      <c r="E166" s="192">
        <v>3</v>
      </c>
      <c r="F166" s="378">
        <v>4</v>
      </c>
      <c r="G166" s="379"/>
    </row>
    <row r="167" spans="1:9" ht="15" hidden="1" customHeight="1" x14ac:dyDescent="0.25">
      <c r="A167" s="192">
        <v>1</v>
      </c>
      <c r="B167" s="302" t="s">
        <v>47</v>
      </c>
      <c r="C167" s="302"/>
      <c r="D167" s="302"/>
      <c r="E167" s="192">
        <v>1</v>
      </c>
      <c r="F167" s="170"/>
      <c r="G167" s="170"/>
    </row>
    <row r="168" spans="1:9" s="118" customFormat="1" ht="15" hidden="1" customHeight="1" x14ac:dyDescent="0.25">
      <c r="A168" s="193"/>
      <c r="B168" s="360" t="s">
        <v>450</v>
      </c>
      <c r="C168" s="360"/>
      <c r="D168" s="360"/>
      <c r="E168" s="193" t="s">
        <v>451</v>
      </c>
      <c r="F168" s="154">
        <f>SUM(F167)</f>
        <v>0</v>
      </c>
      <c r="G168" s="154">
        <f>SUM(G167)</f>
        <v>0</v>
      </c>
      <c r="H168" s="118">
        <f>'р.3 2019'!D121</f>
        <v>0</v>
      </c>
      <c r="I168" s="146">
        <f>H168-F168</f>
        <v>0</v>
      </c>
    </row>
    <row r="169" spans="1:9" hidden="1" x14ac:dyDescent="0.25">
      <c r="G169" s="227"/>
    </row>
    <row r="170" spans="1:9" ht="29.25" customHeight="1" x14ac:dyDescent="0.25">
      <c r="A170" s="406" t="s">
        <v>48</v>
      </c>
      <c r="B170" s="406"/>
      <c r="C170" s="406"/>
      <c r="D170" s="406"/>
      <c r="E170" s="406"/>
      <c r="F170" s="406"/>
      <c r="G170" s="406"/>
    </row>
    <row r="171" spans="1:9" ht="17.25" customHeight="1" x14ac:dyDescent="0.25">
      <c r="A171" s="406" t="s">
        <v>771</v>
      </c>
      <c r="B171" s="406"/>
      <c r="C171" s="406"/>
      <c r="D171" s="406"/>
      <c r="E171" s="406"/>
      <c r="F171" s="406"/>
      <c r="G171" s="406"/>
    </row>
    <row r="172" spans="1:9" ht="28.5" customHeight="1" x14ac:dyDescent="0.25">
      <c r="A172" s="192" t="s">
        <v>442</v>
      </c>
      <c r="B172" s="302" t="s">
        <v>454</v>
      </c>
      <c r="C172" s="302"/>
      <c r="D172" s="302"/>
      <c r="E172" s="192" t="s">
        <v>549</v>
      </c>
      <c r="F172" s="192" t="s">
        <v>125</v>
      </c>
      <c r="G172" s="192" t="s">
        <v>770</v>
      </c>
    </row>
    <row r="173" spans="1:9" x14ac:dyDescent="0.25">
      <c r="A173" s="192">
        <v>1</v>
      </c>
      <c r="B173" s="302">
        <v>2</v>
      </c>
      <c r="C173" s="302"/>
      <c r="D173" s="302"/>
      <c r="E173" s="192">
        <v>3</v>
      </c>
      <c r="F173" s="378">
        <v>4</v>
      </c>
      <c r="G173" s="379"/>
    </row>
    <row r="174" spans="1:9" ht="27.75" customHeight="1" x14ac:dyDescent="0.25">
      <c r="A174" s="378" t="s">
        <v>139</v>
      </c>
      <c r="B174" s="388"/>
      <c r="C174" s="388"/>
      <c r="D174" s="388"/>
      <c r="E174" s="388"/>
      <c r="F174" s="388"/>
      <c r="G174" s="379"/>
    </row>
    <row r="175" spans="1:9" ht="32.25" customHeight="1" x14ac:dyDescent="0.25">
      <c r="A175" s="192">
        <v>1</v>
      </c>
      <c r="B175" s="324" t="s">
        <v>49</v>
      </c>
      <c r="C175" s="325"/>
      <c r="D175" s="326"/>
      <c r="E175" s="192">
        <v>1</v>
      </c>
      <c r="F175" s="117">
        <f>CEILING(0.76*11601.24,100)</f>
        <v>8900</v>
      </c>
      <c r="G175" s="170">
        <f>F175</f>
        <v>8900</v>
      </c>
      <c r="H175" s="93" t="e">
        <f>F175-H176</f>
        <v>#REF!</v>
      </c>
      <c r="I175" s="93" t="e">
        <f>G175-I176</f>
        <v>#REF!</v>
      </c>
    </row>
    <row r="176" spans="1:9" s="118" customFormat="1" x14ac:dyDescent="0.25">
      <c r="A176" s="193"/>
      <c r="B176" s="360" t="s">
        <v>450</v>
      </c>
      <c r="C176" s="360"/>
      <c r="D176" s="360"/>
      <c r="E176" s="193" t="s">
        <v>451</v>
      </c>
      <c r="F176" s="154">
        <f>SUM(F175)</f>
        <v>8900</v>
      </c>
      <c r="G176" s="154">
        <f>SUM(G175)</f>
        <v>8900</v>
      </c>
      <c r="H176" s="118" t="e">
        <f>#REF!</f>
        <v>#REF!</v>
      </c>
      <c r="I176" s="146" t="e">
        <f>#REF!</f>
        <v>#REF!</v>
      </c>
    </row>
    <row r="177" spans="1:9" s="118" customFormat="1" x14ac:dyDescent="0.25">
      <c r="A177" s="378" t="s">
        <v>51</v>
      </c>
      <c r="B177" s="388"/>
      <c r="C177" s="388"/>
      <c r="D177" s="388"/>
      <c r="E177" s="388"/>
      <c r="F177" s="388"/>
      <c r="G177" s="379"/>
      <c r="I177" s="146"/>
    </row>
    <row r="178" spans="1:9" s="118" customFormat="1" ht="28.5" customHeight="1" x14ac:dyDescent="0.25">
      <c r="A178" s="192">
        <v>1</v>
      </c>
      <c r="B178" s="324" t="s">
        <v>49</v>
      </c>
      <c r="C178" s="325"/>
      <c r="D178" s="326"/>
      <c r="E178" s="192">
        <v>1</v>
      </c>
      <c r="F178" s="117">
        <v>130400</v>
      </c>
      <c r="G178" s="170">
        <f>F178</f>
        <v>130400</v>
      </c>
      <c r="H178" s="146" t="e">
        <f>F179-H179</f>
        <v>#REF!</v>
      </c>
      <c r="I178" s="146">
        <f>G179-I179</f>
        <v>0</v>
      </c>
    </row>
    <row r="179" spans="1:9" s="118" customFormat="1" x14ac:dyDescent="0.25">
      <c r="A179" s="193"/>
      <c r="B179" s="360" t="s">
        <v>450</v>
      </c>
      <c r="C179" s="360"/>
      <c r="D179" s="360"/>
      <c r="E179" s="193" t="s">
        <v>451</v>
      </c>
      <c r="F179" s="154">
        <f>SUM(F178)</f>
        <v>130400</v>
      </c>
      <c r="G179" s="154">
        <f>SUM(G178)</f>
        <v>130400</v>
      </c>
      <c r="H179" s="118" t="e">
        <f>#REF!</f>
        <v>#REF!</v>
      </c>
      <c r="I179" s="146">
        <f>'р.3 2021'!J117</f>
        <v>130400</v>
      </c>
    </row>
    <row r="180" spans="1:9" s="118" customFormat="1" x14ac:dyDescent="0.25">
      <c r="A180" s="193"/>
      <c r="B180" s="360" t="s">
        <v>772</v>
      </c>
      <c r="C180" s="360"/>
      <c r="D180" s="360"/>
      <c r="E180" s="193" t="s">
        <v>451</v>
      </c>
      <c r="F180" s="154">
        <f>F179+F176</f>
        <v>139300</v>
      </c>
      <c r="G180" s="154">
        <f>G179+G176</f>
        <v>139300</v>
      </c>
      <c r="H180" s="118" t="e">
        <f>#REF!</f>
        <v>#REF!</v>
      </c>
      <c r="I180" s="146" t="e">
        <f>H180</f>
        <v>#REF!</v>
      </c>
    </row>
    <row r="181" spans="1:9" ht="9" customHeight="1" x14ac:dyDescent="0.25">
      <c r="G181" s="227"/>
    </row>
    <row r="182" spans="1:9" ht="35.25" customHeight="1" x14ac:dyDescent="0.25">
      <c r="A182" s="406" t="s">
        <v>779</v>
      </c>
      <c r="B182" s="406"/>
      <c r="C182" s="406"/>
      <c r="D182" s="406"/>
      <c r="E182" s="406"/>
      <c r="F182" s="406"/>
      <c r="G182" s="406"/>
    </row>
    <row r="183" spans="1:9" ht="30.75" customHeight="1" x14ac:dyDescent="0.25">
      <c r="A183" s="192" t="s">
        <v>442</v>
      </c>
      <c r="B183" s="302" t="s">
        <v>454</v>
      </c>
      <c r="C183" s="302"/>
      <c r="D183" s="302"/>
      <c r="E183" s="192" t="s">
        <v>549</v>
      </c>
      <c r="F183" s="192" t="s">
        <v>125</v>
      </c>
      <c r="G183" s="192" t="s">
        <v>770</v>
      </c>
    </row>
    <row r="184" spans="1:9" x14ac:dyDescent="0.25">
      <c r="A184" s="192">
        <v>1</v>
      </c>
      <c r="B184" s="302">
        <v>2</v>
      </c>
      <c r="C184" s="302"/>
      <c r="D184" s="302"/>
      <c r="E184" s="192">
        <v>3</v>
      </c>
      <c r="F184" s="378">
        <v>4</v>
      </c>
      <c r="G184" s="379"/>
    </row>
    <row r="185" spans="1:9" ht="31.5" customHeight="1" x14ac:dyDescent="0.25">
      <c r="A185" s="192">
        <v>1</v>
      </c>
      <c r="B185" s="324" t="s">
        <v>54</v>
      </c>
      <c r="C185" s="325"/>
      <c r="D185" s="326"/>
      <c r="E185" s="192">
        <v>1</v>
      </c>
      <c r="F185" s="170">
        <v>5000</v>
      </c>
      <c r="G185" s="170">
        <f>F185</f>
        <v>5000</v>
      </c>
      <c r="H185" s="93" t="e">
        <f>F186-H186</f>
        <v>#REF!</v>
      </c>
      <c r="I185" s="93">
        <f>G186-I186</f>
        <v>0</v>
      </c>
    </row>
    <row r="186" spans="1:9" s="118" customFormat="1" x14ac:dyDescent="0.25">
      <c r="A186" s="193"/>
      <c r="B186" s="360" t="s">
        <v>450</v>
      </c>
      <c r="C186" s="360"/>
      <c r="D186" s="360"/>
      <c r="E186" s="193" t="s">
        <v>451</v>
      </c>
      <c r="F186" s="154">
        <f>SUM(F185)</f>
        <v>5000</v>
      </c>
      <c r="G186" s="154">
        <f>SUM(G185)</f>
        <v>5000</v>
      </c>
      <c r="H186" s="118" t="e">
        <f>#REF!</f>
        <v>#REF!</v>
      </c>
      <c r="I186" s="118">
        <f>'р.3 2021'!E119</f>
        <v>5000</v>
      </c>
    </row>
    <row r="187" spans="1:9" ht="9" customHeight="1" x14ac:dyDescent="0.25">
      <c r="A187" s="94"/>
      <c r="B187" s="141"/>
      <c r="C187" s="141"/>
      <c r="D187" s="141"/>
      <c r="E187" s="94"/>
      <c r="F187" s="156"/>
      <c r="G187" s="227"/>
    </row>
    <row r="188" spans="1:9" ht="16.5" customHeight="1" x14ac:dyDescent="0.25">
      <c r="A188" s="167" t="s">
        <v>57</v>
      </c>
      <c r="B188" s="167"/>
      <c r="C188" s="167"/>
      <c r="D188" s="167"/>
      <c r="E188" s="167"/>
      <c r="F188" s="167"/>
      <c r="G188" s="230"/>
    </row>
    <row r="189" spans="1:9" ht="15.75" customHeight="1" x14ac:dyDescent="0.25">
      <c r="A189" s="345" t="s">
        <v>55</v>
      </c>
      <c r="B189" s="345"/>
      <c r="C189" s="345"/>
      <c r="D189" s="345"/>
      <c r="E189" s="345"/>
      <c r="F189" s="345"/>
      <c r="G189" s="345"/>
    </row>
    <row r="190" spans="1:9" ht="30" customHeight="1" x14ac:dyDescent="0.25">
      <c r="A190" s="192" t="s">
        <v>442</v>
      </c>
      <c r="B190" s="302" t="s">
        <v>454</v>
      </c>
      <c r="C190" s="302"/>
      <c r="D190" s="302"/>
      <c r="E190" s="192" t="s">
        <v>549</v>
      </c>
      <c r="F190" s="192" t="s">
        <v>125</v>
      </c>
      <c r="G190" s="192" t="s">
        <v>770</v>
      </c>
    </row>
    <row r="191" spans="1:9" x14ac:dyDescent="0.25">
      <c r="A191" s="192">
        <v>1</v>
      </c>
      <c r="B191" s="302">
        <v>2</v>
      </c>
      <c r="C191" s="302"/>
      <c r="D191" s="302"/>
      <c r="E191" s="192">
        <v>3</v>
      </c>
      <c r="F191" s="389">
        <v>4</v>
      </c>
      <c r="G191" s="389"/>
    </row>
    <row r="192" spans="1:9" ht="27" customHeight="1" x14ac:dyDescent="0.25">
      <c r="A192" s="192">
        <v>1</v>
      </c>
      <c r="B192" s="324" t="s">
        <v>56</v>
      </c>
      <c r="C192" s="325"/>
      <c r="D192" s="326"/>
      <c r="E192" s="192">
        <v>1</v>
      </c>
      <c r="F192" s="170">
        <v>10600</v>
      </c>
      <c r="G192" s="170">
        <v>10600</v>
      </c>
      <c r="H192" s="93" t="e">
        <f>H193-F193</f>
        <v>#REF!</v>
      </c>
      <c r="I192" s="93">
        <f>I193-G193</f>
        <v>0</v>
      </c>
    </row>
    <row r="193" spans="1:9" s="118" customFormat="1" x14ac:dyDescent="0.25">
      <c r="A193" s="193"/>
      <c r="B193" s="360" t="s">
        <v>450</v>
      </c>
      <c r="C193" s="360"/>
      <c r="D193" s="360"/>
      <c r="E193" s="193" t="s">
        <v>451</v>
      </c>
      <c r="F193" s="154">
        <f>SUM(F192)</f>
        <v>10600</v>
      </c>
      <c r="G193" s="154">
        <f>SUM(G192)</f>
        <v>10600</v>
      </c>
      <c r="H193" s="118" t="e">
        <f>#REF!</f>
        <v>#REF!</v>
      </c>
      <c r="I193" s="118">
        <f>'р.3 2021'!E120</f>
        <v>10600</v>
      </c>
    </row>
    <row r="194" spans="1:9" ht="9" customHeight="1" x14ac:dyDescent="0.25">
      <c r="A194" s="94"/>
      <c r="B194" s="141"/>
      <c r="C194" s="141"/>
      <c r="D194" s="141"/>
      <c r="E194" s="94"/>
      <c r="F194" s="156"/>
      <c r="G194" s="227"/>
    </row>
    <row r="195" spans="1:9" ht="30" customHeight="1" x14ac:dyDescent="0.25">
      <c r="A195" s="406" t="s">
        <v>778</v>
      </c>
      <c r="B195" s="406"/>
      <c r="C195" s="406"/>
      <c r="D195" s="406"/>
      <c r="E195" s="406"/>
      <c r="F195" s="406"/>
      <c r="G195" s="406"/>
    </row>
    <row r="196" spans="1:9" ht="26.25" customHeight="1" x14ac:dyDescent="0.25">
      <c r="A196" s="192" t="s">
        <v>442</v>
      </c>
      <c r="B196" s="302" t="s">
        <v>454</v>
      </c>
      <c r="C196" s="302"/>
      <c r="D196" s="302"/>
      <c r="E196" s="192" t="s">
        <v>549</v>
      </c>
      <c r="F196" s="192" t="s">
        <v>125</v>
      </c>
      <c r="G196" s="192" t="s">
        <v>770</v>
      </c>
    </row>
    <row r="197" spans="1:9" x14ac:dyDescent="0.25">
      <c r="A197" s="192">
        <v>1</v>
      </c>
      <c r="B197" s="302">
        <v>2</v>
      </c>
      <c r="C197" s="302"/>
      <c r="D197" s="302"/>
      <c r="E197" s="192">
        <v>3</v>
      </c>
      <c r="F197" s="378">
        <v>4</v>
      </c>
      <c r="G197" s="379"/>
    </row>
    <row r="198" spans="1:9" x14ac:dyDescent="0.25">
      <c r="A198" s="192">
        <v>1</v>
      </c>
      <c r="B198" s="324" t="s">
        <v>59</v>
      </c>
      <c r="C198" s="325"/>
      <c r="D198" s="326"/>
      <c r="E198" s="192">
        <v>2</v>
      </c>
      <c r="F198" s="170">
        <v>21000</v>
      </c>
      <c r="G198" s="170">
        <v>21000</v>
      </c>
      <c r="H198" s="93" t="e">
        <f>F199-H199</f>
        <v>#REF!</v>
      </c>
      <c r="I198" s="93">
        <f>G199-I199</f>
        <v>0</v>
      </c>
    </row>
    <row r="199" spans="1:9" s="118" customFormat="1" x14ac:dyDescent="0.25">
      <c r="A199" s="193"/>
      <c r="B199" s="360" t="s">
        <v>450</v>
      </c>
      <c r="C199" s="360"/>
      <c r="D199" s="360"/>
      <c r="E199" s="193" t="s">
        <v>451</v>
      </c>
      <c r="F199" s="154">
        <f>SUM(F198)</f>
        <v>21000</v>
      </c>
      <c r="G199" s="154">
        <f>SUM(G198)</f>
        <v>21000</v>
      </c>
      <c r="H199" s="118" t="e">
        <f>#REF!</f>
        <v>#REF!</v>
      </c>
      <c r="I199" s="146">
        <f>'р.3 2021'!H122</f>
        <v>21000</v>
      </c>
    </row>
    <row r="200" spans="1:9" ht="11.25" customHeight="1" x14ac:dyDescent="0.25">
      <c r="A200" s="94"/>
      <c r="B200" s="141"/>
      <c r="C200" s="141"/>
      <c r="D200" s="141"/>
      <c r="E200" s="94"/>
      <c r="F200" s="156"/>
      <c r="G200" s="227"/>
      <c r="I200" s="93"/>
    </row>
    <row r="201" spans="1:9" ht="14.25" customHeight="1" x14ac:dyDescent="0.25">
      <c r="A201" s="406" t="s">
        <v>61</v>
      </c>
      <c r="B201" s="406"/>
      <c r="C201" s="406"/>
      <c r="D201" s="406"/>
      <c r="E201" s="406"/>
      <c r="F201" s="406"/>
      <c r="G201" s="406"/>
      <c r="I201" s="93"/>
    </row>
    <row r="202" spans="1:9" ht="15.75" customHeight="1" x14ac:dyDescent="0.25">
      <c r="A202" s="406" t="s">
        <v>63</v>
      </c>
      <c r="B202" s="406"/>
      <c r="C202" s="406"/>
      <c r="D202" s="406"/>
      <c r="E202" s="406"/>
      <c r="F202" s="406"/>
      <c r="G202" s="406"/>
      <c r="I202" s="93"/>
    </row>
    <row r="203" spans="1:9" ht="27.75" customHeight="1" x14ac:dyDescent="0.25">
      <c r="A203" s="192" t="s">
        <v>442</v>
      </c>
      <c r="B203" s="302" t="s">
        <v>454</v>
      </c>
      <c r="C203" s="302"/>
      <c r="D203" s="302"/>
      <c r="E203" s="192" t="s">
        <v>549</v>
      </c>
      <c r="F203" s="192" t="s">
        <v>125</v>
      </c>
      <c r="G203" s="192" t="s">
        <v>770</v>
      </c>
      <c r="I203" s="93"/>
    </row>
    <row r="204" spans="1:9" x14ac:dyDescent="0.25">
      <c r="A204" s="192">
        <v>1</v>
      </c>
      <c r="B204" s="302">
        <v>2</v>
      </c>
      <c r="C204" s="302"/>
      <c r="D204" s="302"/>
      <c r="E204" s="192">
        <v>3</v>
      </c>
      <c r="F204" s="378">
        <v>4</v>
      </c>
      <c r="G204" s="379"/>
      <c r="I204" s="93"/>
    </row>
    <row r="205" spans="1:9" x14ac:dyDescent="0.25">
      <c r="A205" s="192">
        <v>1</v>
      </c>
      <c r="B205" s="324" t="s">
        <v>64</v>
      </c>
      <c r="C205" s="325"/>
      <c r="D205" s="326"/>
      <c r="E205" s="192">
        <v>1</v>
      </c>
      <c r="F205" s="115">
        <v>115000</v>
      </c>
      <c r="G205" s="117">
        <f>F205</f>
        <v>115000</v>
      </c>
      <c r="H205" s="93" t="e">
        <f>F206-H206</f>
        <v>#REF!</v>
      </c>
      <c r="I205" s="93">
        <f>G206-I206</f>
        <v>0</v>
      </c>
    </row>
    <row r="206" spans="1:9" s="118" customFormat="1" x14ac:dyDescent="0.25">
      <c r="A206" s="193"/>
      <c r="B206" s="360" t="s">
        <v>450</v>
      </c>
      <c r="C206" s="360"/>
      <c r="D206" s="360"/>
      <c r="E206" s="193" t="s">
        <v>451</v>
      </c>
      <c r="F206" s="154" t="e">
        <f>SUM(H206:H206)</f>
        <v>#REF!</v>
      </c>
      <c r="G206" s="154">
        <f>SUM(G205:G205)</f>
        <v>115000</v>
      </c>
      <c r="H206" s="117" t="e">
        <f>#REF!</f>
        <v>#REF!</v>
      </c>
      <c r="I206" s="146">
        <f>'р.3 2021'!H123</f>
        <v>115000</v>
      </c>
    </row>
  </sheetData>
  <mergeCells count="145">
    <mergeCell ref="A1:G13"/>
    <mergeCell ref="A14:G14"/>
    <mergeCell ref="A16:G16"/>
    <mergeCell ref="A17:G17"/>
    <mergeCell ref="A18:G18"/>
    <mergeCell ref="B137:C137"/>
    <mergeCell ref="A24:F24"/>
    <mergeCell ref="A35:F35"/>
    <mergeCell ref="A36:F36"/>
    <mergeCell ref="A38:F38"/>
    <mergeCell ref="A39:F39"/>
    <mergeCell ref="E21:F21"/>
    <mergeCell ref="E22:F22"/>
    <mergeCell ref="E19:F19"/>
    <mergeCell ref="E20:G20"/>
    <mergeCell ref="A25:F25"/>
    <mergeCell ref="A27:F27"/>
    <mergeCell ref="A51:F51"/>
    <mergeCell ref="B43:C43"/>
    <mergeCell ref="B44:C44"/>
    <mergeCell ref="B45:C45"/>
    <mergeCell ref="A48:F48"/>
    <mergeCell ref="A47:G47"/>
    <mergeCell ref="B30:C30"/>
    <mergeCell ref="B31:C31"/>
    <mergeCell ref="B32:C32"/>
    <mergeCell ref="B33:C33"/>
    <mergeCell ref="B73:C73"/>
    <mergeCell ref="B70:C70"/>
    <mergeCell ref="B71:C71"/>
    <mergeCell ref="B72:C72"/>
    <mergeCell ref="A67:G67"/>
    <mergeCell ref="B41:C41"/>
    <mergeCell ref="B42:C42"/>
    <mergeCell ref="A52:G52"/>
    <mergeCell ref="A68:G68"/>
    <mergeCell ref="A69:G69"/>
    <mergeCell ref="F71:G71"/>
    <mergeCell ref="A54:G54"/>
    <mergeCell ref="F56:G56"/>
    <mergeCell ref="A60:G60"/>
    <mergeCell ref="F62:G62"/>
    <mergeCell ref="A49:G49"/>
    <mergeCell ref="A50:G50"/>
    <mergeCell ref="A75:G75"/>
    <mergeCell ref="A76:G76"/>
    <mergeCell ref="B111:C111"/>
    <mergeCell ref="B112:C112"/>
    <mergeCell ref="B113:C113"/>
    <mergeCell ref="A85:F85"/>
    <mergeCell ref="A108:F108"/>
    <mergeCell ref="B110:C110"/>
    <mergeCell ref="A78:G78"/>
    <mergeCell ref="F80:G80"/>
    <mergeCell ref="F87:G87"/>
    <mergeCell ref="A92:G92"/>
    <mergeCell ref="F94:G94"/>
    <mergeCell ref="F101:G101"/>
    <mergeCell ref="A99:G99"/>
    <mergeCell ref="A115:G115"/>
    <mergeCell ref="A116:G116"/>
    <mergeCell ref="A118:G118"/>
    <mergeCell ref="B127:C127"/>
    <mergeCell ref="B120:C120"/>
    <mergeCell ref="B121:C121"/>
    <mergeCell ref="F128:G128"/>
    <mergeCell ref="A132:G132"/>
    <mergeCell ref="F134:G134"/>
    <mergeCell ref="B122:C122"/>
    <mergeCell ref="B123:C123"/>
    <mergeCell ref="F121:G121"/>
    <mergeCell ref="A125:G125"/>
    <mergeCell ref="B134:C134"/>
    <mergeCell ref="B128:C128"/>
    <mergeCell ref="B129:C129"/>
    <mergeCell ref="B130:C130"/>
    <mergeCell ref="B133:C133"/>
    <mergeCell ref="B148:C148"/>
    <mergeCell ref="B149:C149"/>
    <mergeCell ref="D135:D139"/>
    <mergeCell ref="B136:C136"/>
    <mergeCell ref="B138:C138"/>
    <mergeCell ref="B139:C139"/>
    <mergeCell ref="B157:C157"/>
    <mergeCell ref="B158:C158"/>
    <mergeCell ref="D146:D149"/>
    <mergeCell ref="B135:C135"/>
    <mergeCell ref="B144:C144"/>
    <mergeCell ref="B145:C145"/>
    <mergeCell ref="B146:C146"/>
    <mergeCell ref="A142:G142"/>
    <mergeCell ref="F145:G145"/>
    <mergeCell ref="B140:C140"/>
    <mergeCell ref="B147:C147"/>
    <mergeCell ref="B165:D165"/>
    <mergeCell ref="B150:C150"/>
    <mergeCell ref="B154:C154"/>
    <mergeCell ref="B155:C155"/>
    <mergeCell ref="B156:C156"/>
    <mergeCell ref="A152:G152"/>
    <mergeCell ref="F155:G155"/>
    <mergeCell ref="A164:G164"/>
    <mergeCell ref="A161:G161"/>
    <mergeCell ref="A163:G163"/>
    <mergeCell ref="F173:G173"/>
    <mergeCell ref="B173:D173"/>
    <mergeCell ref="B175:D175"/>
    <mergeCell ref="B176:D176"/>
    <mergeCell ref="B183:D183"/>
    <mergeCell ref="B166:D166"/>
    <mergeCell ref="B167:D167"/>
    <mergeCell ref="B168:D168"/>
    <mergeCell ref="B172:D172"/>
    <mergeCell ref="A182:G182"/>
    <mergeCell ref="B178:D178"/>
    <mergeCell ref="B179:D179"/>
    <mergeCell ref="B180:D180"/>
    <mergeCell ref="A174:G174"/>
    <mergeCell ref="A177:G177"/>
    <mergeCell ref="F166:G166"/>
    <mergeCell ref="A170:G170"/>
    <mergeCell ref="A171:G171"/>
    <mergeCell ref="F184:G184"/>
    <mergeCell ref="F191:G191"/>
    <mergeCell ref="A189:G189"/>
    <mergeCell ref="A195:G195"/>
    <mergeCell ref="B184:D184"/>
    <mergeCell ref="B185:D185"/>
    <mergeCell ref="B186:D186"/>
    <mergeCell ref="B190:D190"/>
    <mergeCell ref="B197:D197"/>
    <mergeCell ref="B206:D206"/>
    <mergeCell ref="F204:G204"/>
    <mergeCell ref="A202:G202"/>
    <mergeCell ref="B203:D203"/>
    <mergeCell ref="B204:D204"/>
    <mergeCell ref="B198:D198"/>
    <mergeCell ref="B199:D199"/>
    <mergeCell ref="B191:D191"/>
    <mergeCell ref="B192:D192"/>
    <mergeCell ref="B193:D193"/>
    <mergeCell ref="B196:D196"/>
    <mergeCell ref="F197:G197"/>
    <mergeCell ref="A201:G201"/>
    <mergeCell ref="B205:D205"/>
  </mergeCells>
  <phoneticPr fontId="38" type="noConversion"/>
  <pageMargins left="1.0629921259842521" right="0.47244094488188981" top="0.19685039370078741" bottom="0" header="0.19685039370078741" footer="0.19685039370078741"/>
  <pageSetup paperSize="9" scale="75" orientation="portrait" r:id="rId1"/>
  <rowBreaks count="1" manualBreakCount="1">
    <brk id="8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651</v>
      </c>
    </row>
    <row r="3" spans="1:11" ht="15.75" x14ac:dyDescent="0.25">
      <c r="A3" s="59" t="s">
        <v>650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270" t="s">
        <v>672</v>
      </c>
      <c r="B4" s="270"/>
      <c r="C4" s="270"/>
      <c r="D4" s="270"/>
      <c r="E4" s="270"/>
      <c r="F4" s="270"/>
      <c r="G4" s="270"/>
      <c r="H4" s="270"/>
      <c r="I4" s="270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412" t="s">
        <v>401</v>
      </c>
      <c r="B6" s="412" t="s">
        <v>402</v>
      </c>
      <c r="C6" s="412" t="s">
        <v>403</v>
      </c>
      <c r="D6" s="413" t="s">
        <v>665</v>
      </c>
      <c r="E6" s="413"/>
      <c r="F6" s="413"/>
      <c r="G6" s="413"/>
      <c r="H6" s="413"/>
      <c r="I6" s="413"/>
      <c r="J6" s="413"/>
    </row>
    <row r="7" spans="1:11" ht="96.6" customHeight="1" x14ac:dyDescent="0.25">
      <c r="A7" s="412"/>
      <c r="B7" s="412"/>
      <c r="C7" s="412"/>
      <c r="D7" s="58" t="s">
        <v>405</v>
      </c>
      <c r="E7" s="58" t="s">
        <v>625</v>
      </c>
      <c r="F7" s="58" t="s">
        <v>626</v>
      </c>
      <c r="G7" s="58" t="s">
        <v>627</v>
      </c>
      <c r="H7" s="58" t="s">
        <v>630</v>
      </c>
      <c r="I7" s="58" t="s">
        <v>628</v>
      </c>
      <c r="J7" s="58" t="s">
        <v>629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666</v>
      </c>
    </row>
    <row r="10" spans="1:11" x14ac:dyDescent="0.25">
      <c r="A10" s="43" t="s">
        <v>297</v>
      </c>
      <c r="B10" s="43">
        <v>200</v>
      </c>
      <c r="C10" s="43" t="s">
        <v>298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299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631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185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300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185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301</v>
      </c>
      <c r="B16" s="43">
        <v>211.1</v>
      </c>
      <c r="C16" s="43" t="s">
        <v>574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612</v>
      </c>
      <c r="B17" s="43">
        <v>211.2</v>
      </c>
      <c r="C17" s="43" t="s">
        <v>575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302</v>
      </c>
      <c r="B18" s="43">
        <v>211.3</v>
      </c>
      <c r="C18" s="43" t="s">
        <v>303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304</v>
      </c>
      <c r="B19" s="43">
        <v>211.4</v>
      </c>
      <c r="C19" s="43" t="s">
        <v>305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306</v>
      </c>
      <c r="B20" s="43">
        <v>211.5</v>
      </c>
      <c r="C20" s="43" t="s">
        <v>576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307</v>
      </c>
      <c r="B21" s="43">
        <v>211.6</v>
      </c>
      <c r="C21" s="43" t="s">
        <v>308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309</v>
      </c>
      <c r="B22" s="43">
        <v>211.7</v>
      </c>
      <c r="C22" s="43" t="s">
        <v>577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310</v>
      </c>
      <c r="B23" s="43">
        <v>211.8</v>
      </c>
      <c r="C23" s="43" t="s">
        <v>578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311</v>
      </c>
      <c r="B24" s="43">
        <v>211.9</v>
      </c>
      <c r="C24" s="43" t="s">
        <v>312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313</v>
      </c>
      <c r="B25" s="43">
        <v>211.1</v>
      </c>
      <c r="C25" s="43" t="s">
        <v>314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315</v>
      </c>
      <c r="B26" s="43">
        <v>211.11</v>
      </c>
      <c r="C26" s="43" t="s">
        <v>579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316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187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317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185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318</v>
      </c>
      <c r="B31" s="43">
        <v>221.1</v>
      </c>
      <c r="C31" s="43" t="s">
        <v>319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613</v>
      </c>
      <c r="B32" s="43">
        <v>221.2</v>
      </c>
      <c r="C32" s="43" t="s">
        <v>320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321</v>
      </c>
      <c r="B33" s="43">
        <v>221.3</v>
      </c>
      <c r="C33" s="43" t="s">
        <v>322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323</v>
      </c>
      <c r="B34" s="43">
        <v>222</v>
      </c>
      <c r="C34" s="43" t="s">
        <v>324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325</v>
      </c>
      <c r="B35" s="43">
        <v>223</v>
      </c>
      <c r="C35" s="43" t="s">
        <v>326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327</v>
      </c>
      <c r="B36" s="43">
        <v>224</v>
      </c>
      <c r="C36" s="43" t="s">
        <v>328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329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187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330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185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331</v>
      </c>
      <c r="B41" s="43">
        <v>231.1</v>
      </c>
      <c r="C41" s="43" t="s">
        <v>332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333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185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334</v>
      </c>
      <c r="B44" s="43">
        <v>232.1</v>
      </c>
      <c r="C44" s="43" t="s">
        <v>335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336</v>
      </c>
      <c r="B45" s="43">
        <v>232.2</v>
      </c>
      <c r="C45" s="43" t="s">
        <v>337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338</v>
      </c>
      <c r="B46" s="43">
        <v>232.3</v>
      </c>
      <c r="C46" s="43" t="s">
        <v>339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340</v>
      </c>
      <c r="B47" s="43">
        <v>232.4</v>
      </c>
      <c r="C47" s="43" t="s">
        <v>341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342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343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344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187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345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185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346</v>
      </c>
      <c r="B57" s="43">
        <v>261.10000000000002</v>
      </c>
      <c r="C57" s="43" t="s">
        <v>347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348</v>
      </c>
      <c r="B58" s="43">
        <v>261.2</v>
      </c>
      <c r="C58" s="43" t="s">
        <v>349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350</v>
      </c>
      <c r="B59" s="43">
        <v>261.3</v>
      </c>
      <c r="C59" s="43" t="s">
        <v>351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352</v>
      </c>
      <c r="B60" s="43">
        <v>261.39999999999998</v>
      </c>
      <c r="C60" s="43" t="s">
        <v>353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354</v>
      </c>
      <c r="B61" s="43">
        <v>261.5</v>
      </c>
      <c r="C61" s="43" t="s">
        <v>580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355</v>
      </c>
      <c r="B62" s="43">
        <v>261.60000000000002</v>
      </c>
      <c r="C62" s="43" t="s">
        <v>639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310</v>
      </c>
      <c r="B63" s="43">
        <v>261.7</v>
      </c>
      <c r="C63" s="43" t="s">
        <v>581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356</v>
      </c>
      <c r="B64" s="43">
        <v>261.8</v>
      </c>
      <c r="C64" s="43" t="s">
        <v>582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357</v>
      </c>
      <c r="B65" s="43">
        <v>261.89999999999998</v>
      </c>
      <c r="C65" s="43" t="s">
        <v>583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358</v>
      </c>
      <c r="B66" s="43">
        <v>261.10000000000002</v>
      </c>
      <c r="C66" s="43" t="s">
        <v>584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359</v>
      </c>
      <c r="B67" s="43">
        <v>261.11</v>
      </c>
      <c r="C67" s="43" t="s">
        <v>585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360</v>
      </c>
      <c r="B68" s="43">
        <v>261.12</v>
      </c>
      <c r="C68" s="43" t="s">
        <v>586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361</v>
      </c>
      <c r="B69" s="43">
        <v>261.13</v>
      </c>
      <c r="C69" s="43" t="s">
        <v>587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362</v>
      </c>
      <c r="B70" s="43">
        <v>261.14</v>
      </c>
      <c r="C70" s="43" t="s">
        <v>588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363</v>
      </c>
      <c r="B71" s="43">
        <v>261.14999999999998</v>
      </c>
      <c r="C71" s="43" t="s">
        <v>589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364</v>
      </c>
      <c r="B72" s="43">
        <v>261.16000000000003</v>
      </c>
      <c r="C72" s="43" t="s">
        <v>365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366</v>
      </c>
      <c r="B73" s="43">
        <v>261.17</v>
      </c>
      <c r="C73" s="43" t="s">
        <v>590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367</v>
      </c>
      <c r="B74" s="43">
        <v>261.18</v>
      </c>
      <c r="C74" s="43" t="s">
        <v>591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368</v>
      </c>
      <c r="B75" s="43">
        <v>261.19</v>
      </c>
      <c r="C75" s="43" t="s">
        <v>592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369</v>
      </c>
      <c r="B76" s="43">
        <v>261.2</v>
      </c>
      <c r="C76" s="43" t="s">
        <v>593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370</v>
      </c>
      <c r="B77" s="43">
        <v>261.20999999999998</v>
      </c>
      <c r="C77" s="43" t="s">
        <v>371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372</v>
      </c>
      <c r="B78" s="43">
        <v>261.22000000000003</v>
      </c>
      <c r="C78" s="43" t="s">
        <v>594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373</v>
      </c>
      <c r="B79" s="43">
        <v>261.23</v>
      </c>
      <c r="C79" s="43" t="s">
        <v>595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374</v>
      </c>
      <c r="B80" s="43">
        <v>261.24</v>
      </c>
      <c r="C80" s="43" t="s">
        <v>375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376</v>
      </c>
      <c r="B81" s="43">
        <v>261.25</v>
      </c>
      <c r="C81" s="43" t="s">
        <v>596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377</v>
      </c>
      <c r="B82" s="43">
        <v>261.26</v>
      </c>
      <c r="C82" s="43" t="s">
        <v>597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378</v>
      </c>
      <c r="B83" s="43">
        <v>261.27</v>
      </c>
      <c r="C83" s="43" t="s">
        <v>379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380</v>
      </c>
      <c r="B84" s="43">
        <v>261.27999999999997</v>
      </c>
      <c r="C84" s="43" t="s">
        <v>598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381</v>
      </c>
      <c r="B85" s="43">
        <v>261.29000000000002</v>
      </c>
      <c r="C85" s="43" t="s">
        <v>382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383</v>
      </c>
      <c r="B86" s="43">
        <v>261.3</v>
      </c>
      <c r="C86" s="43" t="s">
        <v>599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384</v>
      </c>
      <c r="B87" s="43">
        <v>261.31</v>
      </c>
      <c r="C87" s="43" t="s">
        <v>385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386</v>
      </c>
      <c r="B88" s="43">
        <v>261.32</v>
      </c>
      <c r="C88" s="43" t="s">
        <v>600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387</v>
      </c>
      <c r="B89" s="43">
        <v>261.33</v>
      </c>
      <c r="C89" s="43" t="s">
        <v>601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388</v>
      </c>
      <c r="B90" s="43">
        <v>261.33999999999997</v>
      </c>
      <c r="C90" s="43" t="s">
        <v>389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390</v>
      </c>
      <c r="B91" s="43">
        <v>261.35000000000002</v>
      </c>
      <c r="C91" s="43" t="s">
        <v>391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392</v>
      </c>
      <c r="B92" s="43">
        <v>261.36</v>
      </c>
      <c r="C92" s="43" t="s">
        <v>602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399</v>
      </c>
      <c r="B94" s="43">
        <v>500</v>
      </c>
      <c r="C94" s="43" t="s">
        <v>298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400</v>
      </c>
      <c r="B95" s="43">
        <v>600</v>
      </c>
      <c r="C95" s="43" t="s">
        <v>298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38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660</v>
      </c>
    </row>
    <row r="2" spans="1:2" ht="18.75" x14ac:dyDescent="0.3">
      <c r="A2" s="65" t="s">
        <v>662</v>
      </c>
    </row>
    <row r="3" spans="1:2" ht="18.75" x14ac:dyDescent="0.3">
      <c r="A3" s="65" t="s">
        <v>661</v>
      </c>
    </row>
    <row r="5" spans="1:2" ht="18.75" x14ac:dyDescent="0.3">
      <c r="A5" s="64" t="s">
        <v>663</v>
      </c>
    </row>
    <row r="6" spans="1:2" x14ac:dyDescent="0.25">
      <c r="A6" s="60" t="s">
        <v>619</v>
      </c>
    </row>
    <row r="7" spans="1:2" x14ac:dyDescent="0.25">
      <c r="B7" t="s">
        <v>607</v>
      </c>
    </row>
    <row r="9" spans="1:2" x14ac:dyDescent="0.25">
      <c r="B9" t="s">
        <v>608</v>
      </c>
    </row>
    <row r="11" spans="1:2" x14ac:dyDescent="0.25">
      <c r="B11" t="s">
        <v>657</v>
      </c>
    </row>
    <row r="13" spans="1:2" x14ac:dyDescent="0.25">
      <c r="B13" t="s">
        <v>658</v>
      </c>
    </row>
    <row r="15" spans="1:2" x14ac:dyDescent="0.25">
      <c r="B15" t="s">
        <v>609</v>
      </c>
    </row>
    <row r="16" spans="1:2" x14ac:dyDescent="0.25">
      <c r="A16" s="60"/>
    </row>
    <row r="17" spans="1:2" x14ac:dyDescent="0.25">
      <c r="A17" s="60" t="s">
        <v>620</v>
      </c>
    </row>
    <row r="18" spans="1:2" x14ac:dyDescent="0.25">
      <c r="B18" t="s">
        <v>621</v>
      </c>
    </row>
    <row r="20" spans="1:2" x14ac:dyDescent="0.25">
      <c r="B20" t="s">
        <v>621</v>
      </c>
    </row>
    <row r="22" spans="1:2" x14ac:dyDescent="0.25">
      <c r="B22" t="s">
        <v>622</v>
      </c>
    </row>
    <row r="24" spans="1:2" x14ac:dyDescent="0.25">
      <c r="B24" t="s">
        <v>623</v>
      </c>
    </row>
    <row r="26" spans="1:2" x14ac:dyDescent="0.25">
      <c r="B26" t="s">
        <v>659</v>
      </c>
    </row>
    <row r="28" spans="1:2" x14ac:dyDescent="0.25">
      <c r="B28" t="s">
        <v>624</v>
      </c>
    </row>
    <row r="30" spans="1:2" x14ac:dyDescent="0.25">
      <c r="A30" s="60" t="s">
        <v>640</v>
      </c>
    </row>
    <row r="31" spans="1:2" x14ac:dyDescent="0.25">
      <c r="B31" t="s">
        <v>641</v>
      </c>
    </row>
    <row r="33" spans="2:2" x14ac:dyDescent="0.25">
      <c r="B33" t="s">
        <v>642</v>
      </c>
    </row>
    <row r="35" spans="2:2" x14ac:dyDescent="0.25">
      <c r="B35" t="s">
        <v>643</v>
      </c>
    </row>
    <row r="37" spans="2:2" x14ac:dyDescent="0.25">
      <c r="B37" t="s">
        <v>644</v>
      </c>
    </row>
    <row r="39" spans="2:2" x14ac:dyDescent="0.25">
      <c r="B39" t="s">
        <v>645</v>
      </c>
    </row>
    <row r="41" spans="2:2" x14ac:dyDescent="0.25">
      <c r="B41" t="s">
        <v>646</v>
      </c>
    </row>
    <row r="43" spans="2:2" x14ac:dyDescent="0.25">
      <c r="B43" t="s">
        <v>648</v>
      </c>
    </row>
    <row r="45" spans="2:2" x14ac:dyDescent="0.25">
      <c r="B45" t="s">
        <v>647</v>
      </c>
    </row>
    <row r="47" spans="2:2" x14ac:dyDescent="0.25">
      <c r="B47" t="s">
        <v>649</v>
      </c>
    </row>
  </sheetData>
  <phoneticPr fontId="3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93</v>
      </c>
    </row>
  </sheetData>
  <phoneticPr fontId="38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zoomScaleNormal="100" workbookViewId="0">
      <selection activeCell="D72" sqref="C72:D72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282" t="s">
        <v>410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282" t="str">
        <f>титул!B20</f>
        <v xml:space="preserve">« ____»  _______________ 201__ г. 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283" t="s">
        <v>401</v>
      </c>
      <c r="B5" s="283" t="s">
        <v>402</v>
      </c>
      <c r="C5" s="283" t="s">
        <v>403</v>
      </c>
      <c r="D5" s="283" t="s">
        <v>404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30" ht="12" customHeight="1" x14ac:dyDescent="0.25">
      <c r="A6" s="283"/>
      <c r="B6" s="283"/>
      <c r="C6" s="283"/>
      <c r="D6" s="284" t="s">
        <v>405</v>
      </c>
      <c r="E6" s="283" t="s">
        <v>187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</row>
    <row r="7" spans="1:30" ht="31.5" customHeight="1" x14ac:dyDescent="0.25">
      <c r="A7" s="283"/>
      <c r="B7" s="283"/>
      <c r="C7" s="283"/>
      <c r="D7" s="285"/>
      <c r="E7" s="287" t="s">
        <v>406</v>
      </c>
      <c r="F7" s="288"/>
      <c r="G7" s="288"/>
      <c r="H7" s="288"/>
      <c r="I7" s="288"/>
      <c r="J7" s="288"/>
      <c r="K7" s="289"/>
      <c r="L7" s="287" t="s">
        <v>407</v>
      </c>
      <c r="M7" s="288"/>
      <c r="N7" s="288"/>
      <c r="O7" s="288"/>
      <c r="P7" s="288"/>
      <c r="Q7" s="288"/>
      <c r="R7" s="288"/>
      <c r="S7" s="288"/>
      <c r="T7" s="289"/>
      <c r="U7" s="284" t="s">
        <v>408</v>
      </c>
      <c r="V7" s="290" t="s">
        <v>409</v>
      </c>
      <c r="W7" s="290"/>
      <c r="X7" s="290"/>
      <c r="Y7" s="290"/>
      <c r="Z7" s="290"/>
      <c r="AA7" s="290"/>
      <c r="AB7" s="290"/>
    </row>
    <row r="8" spans="1:30" ht="145.5" customHeight="1" x14ac:dyDescent="0.25">
      <c r="A8" s="283"/>
      <c r="B8" s="283"/>
      <c r="C8" s="283"/>
      <c r="D8" s="286"/>
      <c r="E8" s="261" t="s">
        <v>603</v>
      </c>
      <c r="F8" s="73" t="s">
        <v>604</v>
      </c>
      <c r="G8" s="73" t="s">
        <v>671</v>
      </c>
      <c r="H8" s="73" t="s">
        <v>606</v>
      </c>
      <c r="I8" s="73" t="s">
        <v>605</v>
      </c>
      <c r="J8" s="73" t="s">
        <v>841</v>
      </c>
      <c r="K8" s="73" t="s">
        <v>842</v>
      </c>
      <c r="L8" s="261" t="s">
        <v>603</v>
      </c>
      <c r="M8" s="73" t="s">
        <v>615</v>
      </c>
      <c r="N8" s="73" t="s">
        <v>614</v>
      </c>
      <c r="O8" s="73" t="s">
        <v>616</v>
      </c>
      <c r="P8" s="73" t="s">
        <v>617</v>
      </c>
      <c r="Q8" s="73" t="s">
        <v>618</v>
      </c>
      <c r="R8" s="73" t="s">
        <v>667</v>
      </c>
      <c r="S8" s="73" t="s">
        <v>783</v>
      </c>
      <c r="T8" s="73" t="s">
        <v>788</v>
      </c>
      <c r="U8" s="286"/>
      <c r="V8" s="260" t="s">
        <v>405</v>
      </c>
      <c r="W8" s="260" t="s">
        <v>625</v>
      </c>
      <c r="X8" s="260" t="s">
        <v>626</v>
      </c>
      <c r="Y8" s="260" t="s">
        <v>627</v>
      </c>
      <c r="Z8" s="260" t="s">
        <v>648</v>
      </c>
      <c r="AA8" s="260" t="s">
        <v>628</v>
      </c>
      <c r="AB8" s="260" t="s">
        <v>95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556</v>
      </c>
      <c r="B10" s="67">
        <v>100</v>
      </c>
      <c r="C10" s="67" t="s">
        <v>270</v>
      </c>
      <c r="D10" s="68">
        <f>E10+L10+U10+V10</f>
        <v>40612800</v>
      </c>
      <c r="E10" s="68">
        <f>SUM(F10:K10)</f>
        <v>32287600</v>
      </c>
      <c r="F10" s="68">
        <f t="shared" ref="F10:K10" si="0">F17</f>
        <v>0</v>
      </c>
      <c r="G10" s="68">
        <f t="shared" si="0"/>
        <v>0</v>
      </c>
      <c r="H10" s="68">
        <f t="shared" si="0"/>
        <v>31700500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8325200</v>
      </c>
      <c r="M10" s="68">
        <f t="shared" ref="M10:R10" si="1">M30</f>
        <v>490900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/>
    </row>
    <row r="11" spans="1:30" x14ac:dyDescent="0.25">
      <c r="A11" s="67" t="s">
        <v>271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x14ac:dyDescent="0.25">
      <c r="A12" s="67" t="s">
        <v>272</v>
      </c>
      <c r="B12" s="67">
        <v>110</v>
      </c>
      <c r="C12" s="67">
        <v>120</v>
      </c>
      <c r="D12" s="68">
        <f>V12</f>
        <v>0</v>
      </c>
      <c r="E12" s="68" t="s">
        <v>270</v>
      </c>
      <c r="F12" s="69" t="s">
        <v>270</v>
      </c>
      <c r="G12" s="69" t="s">
        <v>270</v>
      </c>
      <c r="H12" s="69" t="s">
        <v>270</v>
      </c>
      <c r="I12" s="69" t="s">
        <v>270</v>
      </c>
      <c r="J12" s="69" t="s">
        <v>270</v>
      </c>
      <c r="K12" s="69" t="s">
        <v>270</v>
      </c>
      <c r="L12" s="68" t="s">
        <v>270</v>
      </c>
      <c r="M12" s="69" t="s">
        <v>270</v>
      </c>
      <c r="N12" s="69" t="s">
        <v>270</v>
      </c>
      <c r="O12" s="69" t="s">
        <v>270</v>
      </c>
      <c r="P12" s="69" t="s">
        <v>270</v>
      </c>
      <c r="Q12" s="69" t="s">
        <v>270</v>
      </c>
      <c r="R12" s="69" t="s">
        <v>270</v>
      </c>
      <c r="S12" s="69" t="s">
        <v>270</v>
      </c>
      <c r="T12" s="69" t="s">
        <v>270</v>
      </c>
      <c r="U12" s="69" t="s">
        <v>270</v>
      </c>
      <c r="V12" s="68">
        <f>SUM(W12:AB12)</f>
        <v>0</v>
      </c>
      <c r="W12" s="69"/>
      <c r="X12" s="69"/>
      <c r="Y12" s="69"/>
      <c r="Z12" s="69"/>
      <c r="AA12" s="69"/>
      <c r="AB12" s="69" t="s">
        <v>270</v>
      </c>
    </row>
    <row r="13" spans="1:30" hidden="1" x14ac:dyDescent="0.25">
      <c r="A13" s="67" t="s">
        <v>273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274</v>
      </c>
      <c r="B14" s="76">
        <v>111</v>
      </c>
      <c r="C14" s="76">
        <v>120</v>
      </c>
      <c r="D14" s="68">
        <f>V14</f>
        <v>0</v>
      </c>
      <c r="E14" s="77" t="s">
        <v>270</v>
      </c>
      <c r="F14" s="78" t="s">
        <v>270</v>
      </c>
      <c r="G14" s="78" t="s">
        <v>270</v>
      </c>
      <c r="H14" s="78" t="s">
        <v>270</v>
      </c>
      <c r="I14" s="78" t="s">
        <v>270</v>
      </c>
      <c r="J14" s="78" t="s">
        <v>270</v>
      </c>
      <c r="K14" s="78" t="s">
        <v>270</v>
      </c>
      <c r="L14" s="77" t="s">
        <v>270</v>
      </c>
      <c r="M14" s="78" t="s">
        <v>270</v>
      </c>
      <c r="N14" s="78" t="s">
        <v>270</v>
      </c>
      <c r="O14" s="78" t="s">
        <v>270</v>
      </c>
      <c r="P14" s="78" t="s">
        <v>270</v>
      </c>
      <c r="Q14" s="78" t="s">
        <v>270</v>
      </c>
      <c r="R14" s="78" t="s">
        <v>270</v>
      </c>
      <c r="S14" s="78" t="s">
        <v>270</v>
      </c>
      <c r="T14" s="78" t="s">
        <v>270</v>
      </c>
      <c r="U14" s="78" t="s">
        <v>270</v>
      </c>
      <c r="V14" s="68">
        <f>SUM(W14:AB14)</f>
        <v>0</v>
      </c>
      <c r="W14" s="78"/>
      <c r="X14" s="78"/>
      <c r="Y14" s="78"/>
      <c r="Z14" s="78"/>
      <c r="AA14" s="78"/>
      <c r="AB14" s="78" t="s">
        <v>270</v>
      </c>
    </row>
    <row r="15" spans="1:30" hidden="1" x14ac:dyDescent="0.25">
      <c r="A15" s="67" t="s">
        <v>275</v>
      </c>
      <c r="B15" s="67">
        <v>112</v>
      </c>
      <c r="C15" s="67">
        <v>120</v>
      </c>
      <c r="D15" s="68">
        <f>V15</f>
        <v>0</v>
      </c>
      <c r="E15" s="68" t="s">
        <v>270</v>
      </c>
      <c r="F15" s="69" t="s">
        <v>270</v>
      </c>
      <c r="G15" s="69" t="s">
        <v>270</v>
      </c>
      <c r="H15" s="69" t="s">
        <v>270</v>
      </c>
      <c r="I15" s="69" t="s">
        <v>270</v>
      </c>
      <c r="J15" s="69" t="s">
        <v>270</v>
      </c>
      <c r="K15" s="69" t="s">
        <v>270</v>
      </c>
      <c r="L15" s="68" t="s">
        <v>270</v>
      </c>
      <c r="M15" s="69" t="s">
        <v>270</v>
      </c>
      <c r="N15" s="69" t="s">
        <v>270</v>
      </c>
      <c r="O15" s="69" t="s">
        <v>270</v>
      </c>
      <c r="P15" s="69" t="s">
        <v>270</v>
      </c>
      <c r="Q15" s="69" t="s">
        <v>270</v>
      </c>
      <c r="R15" s="69" t="s">
        <v>270</v>
      </c>
      <c r="S15" s="69" t="s">
        <v>270</v>
      </c>
      <c r="T15" s="69" t="s">
        <v>270</v>
      </c>
      <c r="U15" s="69" t="s">
        <v>270</v>
      </c>
      <c r="V15" s="68">
        <f>SUM(W15:AB15)</f>
        <v>0</v>
      </c>
      <c r="W15" s="69"/>
      <c r="X15" s="69"/>
      <c r="Y15" s="69"/>
      <c r="Z15" s="69"/>
      <c r="AA15" s="69"/>
      <c r="AB15" s="69" t="s">
        <v>270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276</v>
      </c>
      <c r="B17" s="67">
        <v>120</v>
      </c>
      <c r="C17" s="67">
        <v>130</v>
      </c>
      <c r="D17" s="68">
        <f>E17+V17</f>
        <v>32287600</v>
      </c>
      <c r="E17" s="68">
        <f>SUM(F17:K17)</f>
        <v>32287600</v>
      </c>
      <c r="F17" s="69">
        <f>F19+F20+F21+F22+F23+F24</f>
        <v>0</v>
      </c>
      <c r="G17" s="69"/>
      <c r="H17" s="68">
        <f>H19+H20+H21+H22+H23+H24</f>
        <v>31700500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270</v>
      </c>
      <c r="M17" s="69" t="s">
        <v>270</v>
      </c>
      <c r="N17" s="69" t="s">
        <v>270</v>
      </c>
      <c r="O17" s="69" t="s">
        <v>270</v>
      </c>
      <c r="P17" s="69" t="s">
        <v>270</v>
      </c>
      <c r="Q17" s="69" t="s">
        <v>270</v>
      </c>
      <c r="R17" s="69" t="s">
        <v>270</v>
      </c>
      <c r="S17" s="69" t="s">
        <v>270</v>
      </c>
      <c r="T17" s="69" t="s">
        <v>270</v>
      </c>
      <c r="U17" s="69" t="s">
        <v>270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115"/>
    </row>
    <row r="18" spans="1:30" ht="11.25" customHeight="1" x14ac:dyDescent="0.25">
      <c r="A18" s="67" t="s">
        <v>273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277</v>
      </c>
      <c r="B19" s="67">
        <v>121</v>
      </c>
      <c r="C19" s="67">
        <v>130</v>
      </c>
      <c r="D19" s="68">
        <f>E19</f>
        <v>32287600</v>
      </c>
      <c r="E19" s="68">
        <f>SUM(F19:K19)</f>
        <v>32287600</v>
      </c>
      <c r="F19" s="69"/>
      <c r="G19" s="69"/>
      <c r="H19" s="69">
        <v>31700500</v>
      </c>
      <c r="I19" s="69"/>
      <c r="J19" s="69">
        <v>68200</v>
      </c>
      <c r="K19" s="69">
        <v>518900</v>
      </c>
      <c r="L19" s="68" t="s">
        <v>270</v>
      </c>
      <c r="M19" s="69" t="s">
        <v>270</v>
      </c>
      <c r="N19" s="69" t="s">
        <v>270</v>
      </c>
      <c r="O19" s="69" t="s">
        <v>270</v>
      </c>
      <c r="P19" s="69" t="s">
        <v>270</v>
      </c>
      <c r="Q19" s="69" t="s">
        <v>270</v>
      </c>
      <c r="R19" s="69" t="s">
        <v>270</v>
      </c>
      <c r="S19" s="69" t="s">
        <v>270</v>
      </c>
      <c r="T19" s="69" t="s">
        <v>270</v>
      </c>
      <c r="U19" s="69" t="s">
        <v>270</v>
      </c>
      <c r="V19" s="68"/>
      <c r="W19" s="69"/>
      <c r="X19" s="69"/>
      <c r="Y19" s="69"/>
      <c r="Z19" s="69"/>
      <c r="AA19" s="69"/>
      <c r="AB19" s="69" t="s">
        <v>270</v>
      </c>
    </row>
    <row r="20" spans="1:30" hidden="1" x14ac:dyDescent="0.25">
      <c r="A20" s="67" t="s">
        <v>278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270</v>
      </c>
      <c r="M20" s="69" t="s">
        <v>270</v>
      </c>
      <c r="N20" s="69" t="s">
        <v>270</v>
      </c>
      <c r="O20" s="69" t="s">
        <v>270</v>
      </c>
      <c r="P20" s="69" t="s">
        <v>270</v>
      </c>
      <c r="Q20" s="69" t="s">
        <v>270</v>
      </c>
      <c r="R20" s="69" t="s">
        <v>270</v>
      </c>
      <c r="S20" s="69" t="s">
        <v>270</v>
      </c>
      <c r="T20" s="69" t="s">
        <v>270</v>
      </c>
      <c r="U20" s="69" t="s">
        <v>270</v>
      </c>
      <c r="V20" s="68">
        <f>SUM(W20:AB20)</f>
        <v>0</v>
      </c>
      <c r="W20" s="69"/>
      <c r="X20" s="69"/>
      <c r="Y20" s="69"/>
      <c r="Z20" s="69"/>
      <c r="AA20" s="69"/>
      <c r="AB20" s="69" t="s">
        <v>270</v>
      </c>
    </row>
    <row r="21" spans="1:30" hidden="1" x14ac:dyDescent="0.25">
      <c r="A21" s="67" t="s">
        <v>279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280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281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282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283</v>
      </c>
      <c r="B26" s="67">
        <v>130</v>
      </c>
      <c r="C26" s="67">
        <v>140</v>
      </c>
      <c r="D26" s="68">
        <f>V26</f>
        <v>0</v>
      </c>
      <c r="E26" s="68" t="s">
        <v>270</v>
      </c>
      <c r="F26" s="69" t="s">
        <v>270</v>
      </c>
      <c r="G26" s="69" t="s">
        <v>270</v>
      </c>
      <c r="H26" s="69" t="s">
        <v>270</v>
      </c>
      <c r="I26" s="69" t="s">
        <v>270</v>
      </c>
      <c r="J26" s="69" t="s">
        <v>270</v>
      </c>
      <c r="K26" s="69" t="s">
        <v>270</v>
      </c>
      <c r="L26" s="68" t="s">
        <v>270</v>
      </c>
      <c r="M26" s="69" t="s">
        <v>270</v>
      </c>
      <c r="N26" s="69" t="s">
        <v>270</v>
      </c>
      <c r="O26" s="69" t="s">
        <v>270</v>
      </c>
      <c r="P26" s="69" t="s">
        <v>270</v>
      </c>
      <c r="Q26" s="69" t="s">
        <v>270</v>
      </c>
      <c r="R26" s="69" t="s">
        <v>270</v>
      </c>
      <c r="S26" s="69" t="s">
        <v>270</v>
      </c>
      <c r="T26" s="69" t="s">
        <v>270</v>
      </c>
      <c r="U26" s="69" t="s">
        <v>270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284</v>
      </c>
      <c r="B28" s="67">
        <v>140</v>
      </c>
      <c r="C28" s="67">
        <v>150</v>
      </c>
      <c r="D28" s="68">
        <f>V28</f>
        <v>0</v>
      </c>
      <c r="E28" s="68" t="s">
        <v>270</v>
      </c>
      <c r="F28" s="69" t="s">
        <v>270</v>
      </c>
      <c r="G28" s="69" t="s">
        <v>270</v>
      </c>
      <c r="H28" s="69" t="s">
        <v>270</v>
      </c>
      <c r="I28" s="69" t="s">
        <v>270</v>
      </c>
      <c r="J28" s="69" t="s">
        <v>270</v>
      </c>
      <c r="K28" s="69" t="s">
        <v>270</v>
      </c>
      <c r="L28" s="68" t="s">
        <v>270</v>
      </c>
      <c r="M28" s="69" t="s">
        <v>270</v>
      </c>
      <c r="N28" s="69" t="s">
        <v>270</v>
      </c>
      <c r="O28" s="69" t="s">
        <v>270</v>
      </c>
      <c r="P28" s="69" t="s">
        <v>270</v>
      </c>
      <c r="Q28" s="69" t="s">
        <v>270</v>
      </c>
      <c r="R28" s="69" t="s">
        <v>270</v>
      </c>
      <c r="S28" s="69" t="s">
        <v>270</v>
      </c>
      <c r="T28" s="69"/>
      <c r="U28" s="69" t="s">
        <v>270</v>
      </c>
      <c r="V28" s="68">
        <f>SUM(W28:AB28)</f>
        <v>0</v>
      </c>
      <c r="W28" s="69"/>
      <c r="X28" s="69"/>
      <c r="Y28" s="69"/>
      <c r="Z28" s="69"/>
      <c r="AA28" s="69"/>
      <c r="AB28" s="69" t="s">
        <v>270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115"/>
    </row>
    <row r="30" spans="1:30" ht="13.5" customHeight="1" x14ac:dyDescent="0.25">
      <c r="A30" s="67" t="s">
        <v>285</v>
      </c>
      <c r="B30" s="67">
        <v>150</v>
      </c>
      <c r="C30" s="67">
        <v>180</v>
      </c>
      <c r="D30" s="68">
        <f>L30+U30</f>
        <v>8325200</v>
      </c>
      <c r="E30" s="68" t="s">
        <v>270</v>
      </c>
      <c r="F30" s="69" t="s">
        <v>270</v>
      </c>
      <c r="G30" s="69" t="s">
        <v>270</v>
      </c>
      <c r="H30" s="69" t="s">
        <v>270</v>
      </c>
      <c r="I30" s="69" t="s">
        <v>270</v>
      </c>
      <c r="J30" s="69" t="s">
        <v>270</v>
      </c>
      <c r="K30" s="69" t="s">
        <v>270</v>
      </c>
      <c r="L30" s="68">
        <f>SUM(M30:T30)</f>
        <v>8325200</v>
      </c>
      <c r="M30" s="69">
        <f t="shared" ref="M30:R30" si="2">M32+M33+M149</f>
        <v>490900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270</v>
      </c>
      <c r="W30" s="69" t="s">
        <v>270</v>
      </c>
      <c r="X30" s="69" t="s">
        <v>270</v>
      </c>
      <c r="Y30" s="69" t="s">
        <v>270</v>
      </c>
      <c r="Z30" s="69" t="s">
        <v>270</v>
      </c>
      <c r="AA30" s="69" t="s">
        <v>270</v>
      </c>
      <c r="AB30" s="69" t="s">
        <v>270</v>
      </c>
      <c r="AD30" s="90"/>
    </row>
    <row r="31" spans="1:30" x14ac:dyDescent="0.25">
      <c r="A31" s="67" t="s">
        <v>187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285</v>
      </c>
      <c r="B32" s="67">
        <v>150.1</v>
      </c>
      <c r="C32" s="67">
        <v>180</v>
      </c>
      <c r="D32" s="68">
        <f>L32+U32</f>
        <v>8325200</v>
      </c>
      <c r="E32" s="68"/>
      <c r="F32" s="69"/>
      <c r="G32" s="69"/>
      <c r="H32" s="69"/>
      <c r="I32" s="69"/>
      <c r="J32" s="69"/>
      <c r="K32" s="69"/>
      <c r="L32" s="68">
        <f>SUM(M32:T32)</f>
        <v>8325200</v>
      </c>
      <c r="M32" s="69">
        <v>490900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680</v>
      </c>
      <c r="B33" s="67">
        <v>150.19999999999999</v>
      </c>
      <c r="C33" s="67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286</v>
      </c>
      <c r="B34" s="67">
        <v>160</v>
      </c>
      <c r="C34" s="67"/>
      <c r="D34" s="68">
        <f>V34</f>
        <v>0</v>
      </c>
      <c r="E34" s="68" t="s">
        <v>270</v>
      </c>
      <c r="F34" s="69" t="s">
        <v>270</v>
      </c>
      <c r="G34" s="69" t="s">
        <v>270</v>
      </c>
      <c r="H34" s="69" t="s">
        <v>270</v>
      </c>
      <c r="I34" s="69" t="s">
        <v>270</v>
      </c>
      <c r="J34" s="69" t="s">
        <v>270</v>
      </c>
      <c r="K34" s="69" t="s">
        <v>270</v>
      </c>
      <c r="L34" s="68" t="s">
        <v>270</v>
      </c>
      <c r="M34" s="69" t="s">
        <v>270</v>
      </c>
      <c r="N34" s="69" t="s">
        <v>270</v>
      </c>
      <c r="O34" s="69" t="s">
        <v>270</v>
      </c>
      <c r="P34" s="69" t="s">
        <v>270</v>
      </c>
      <c r="Q34" s="69" t="s">
        <v>270</v>
      </c>
      <c r="R34" s="69" t="s">
        <v>270</v>
      </c>
      <c r="S34" s="69" t="s">
        <v>270</v>
      </c>
      <c r="T34" s="69" t="s">
        <v>270</v>
      </c>
      <c r="U34" s="69" t="s">
        <v>270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187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610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611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287</v>
      </c>
      <c r="B38" s="67" t="s">
        <v>288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289</v>
      </c>
      <c r="B41" s="67">
        <v>180</v>
      </c>
      <c r="C41" s="67" t="s">
        <v>270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187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290</v>
      </c>
      <c r="B43" s="67">
        <v>181</v>
      </c>
      <c r="C43" s="67">
        <v>400</v>
      </c>
      <c r="D43" s="68">
        <f>V43</f>
        <v>0</v>
      </c>
      <c r="E43" s="68" t="s">
        <v>270</v>
      </c>
      <c r="F43" s="69" t="s">
        <v>270</v>
      </c>
      <c r="G43" s="69" t="s">
        <v>270</v>
      </c>
      <c r="H43" s="69" t="s">
        <v>270</v>
      </c>
      <c r="I43" s="69" t="s">
        <v>270</v>
      </c>
      <c r="J43" s="69" t="s">
        <v>270</v>
      </c>
      <c r="K43" s="69" t="s">
        <v>270</v>
      </c>
      <c r="L43" s="68" t="s">
        <v>270</v>
      </c>
      <c r="M43" s="69" t="s">
        <v>270</v>
      </c>
      <c r="N43" s="69" t="s">
        <v>270</v>
      </c>
      <c r="O43" s="69" t="s">
        <v>270</v>
      </c>
      <c r="P43" s="69" t="s">
        <v>270</v>
      </c>
      <c r="Q43" s="69" t="s">
        <v>270</v>
      </c>
      <c r="R43" s="69" t="s">
        <v>270</v>
      </c>
      <c r="S43" s="69" t="s">
        <v>270</v>
      </c>
      <c r="T43" s="69"/>
      <c r="U43" s="69" t="s">
        <v>270</v>
      </c>
      <c r="V43" s="68">
        <f>SUM(W43:AB43)</f>
        <v>0</v>
      </c>
      <c r="W43" s="69"/>
      <c r="X43" s="69"/>
      <c r="Y43" s="69"/>
      <c r="Z43" s="69"/>
      <c r="AA43" s="69"/>
      <c r="AB43" s="69" t="s">
        <v>270</v>
      </c>
    </row>
    <row r="44" spans="1:28" hidden="1" x14ac:dyDescent="0.25">
      <c r="A44" s="67" t="s">
        <v>185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291</v>
      </c>
      <c r="B45" s="67">
        <v>181.1</v>
      </c>
      <c r="C45" s="67">
        <v>410</v>
      </c>
      <c r="D45" s="68">
        <f>V45</f>
        <v>0</v>
      </c>
      <c r="E45" s="68" t="s">
        <v>270</v>
      </c>
      <c r="F45" s="69" t="s">
        <v>270</v>
      </c>
      <c r="G45" s="69" t="s">
        <v>270</v>
      </c>
      <c r="H45" s="69" t="s">
        <v>270</v>
      </c>
      <c r="I45" s="69" t="s">
        <v>270</v>
      </c>
      <c r="J45" s="69" t="s">
        <v>270</v>
      </c>
      <c r="K45" s="69" t="s">
        <v>270</v>
      </c>
      <c r="L45" s="68" t="s">
        <v>270</v>
      </c>
      <c r="M45" s="69" t="s">
        <v>270</v>
      </c>
      <c r="N45" s="69" t="s">
        <v>270</v>
      </c>
      <c r="O45" s="69" t="s">
        <v>270</v>
      </c>
      <c r="P45" s="69" t="s">
        <v>270</v>
      </c>
      <c r="Q45" s="69" t="s">
        <v>270</v>
      </c>
      <c r="R45" s="69" t="s">
        <v>270</v>
      </c>
      <c r="S45" s="69" t="s">
        <v>270</v>
      </c>
      <c r="T45" s="69"/>
      <c r="U45" s="69" t="s">
        <v>270</v>
      </c>
      <c r="V45" s="68">
        <f>SUM(W45:AB45)</f>
        <v>0</v>
      </c>
      <c r="W45" s="69"/>
      <c r="X45" s="69"/>
      <c r="Y45" s="69"/>
      <c r="Z45" s="69"/>
      <c r="AA45" s="69"/>
      <c r="AB45" s="69" t="s">
        <v>270</v>
      </c>
    </row>
    <row r="46" spans="1:28" hidden="1" x14ac:dyDescent="0.25">
      <c r="A46" s="67" t="s">
        <v>292</v>
      </c>
      <c r="B46" s="67">
        <v>181.2</v>
      </c>
      <c r="C46" s="67">
        <v>420</v>
      </c>
      <c r="D46" s="68">
        <f>V46</f>
        <v>0</v>
      </c>
      <c r="E46" s="68" t="s">
        <v>270</v>
      </c>
      <c r="F46" s="69" t="s">
        <v>270</v>
      </c>
      <c r="G46" s="69" t="s">
        <v>270</v>
      </c>
      <c r="H46" s="69" t="s">
        <v>270</v>
      </c>
      <c r="I46" s="69" t="s">
        <v>270</v>
      </c>
      <c r="J46" s="69" t="s">
        <v>270</v>
      </c>
      <c r="K46" s="69" t="s">
        <v>270</v>
      </c>
      <c r="L46" s="68" t="s">
        <v>270</v>
      </c>
      <c r="M46" s="69" t="s">
        <v>270</v>
      </c>
      <c r="N46" s="69" t="s">
        <v>270</v>
      </c>
      <c r="O46" s="69" t="s">
        <v>270</v>
      </c>
      <c r="P46" s="69" t="s">
        <v>270</v>
      </c>
      <c r="Q46" s="69" t="s">
        <v>270</v>
      </c>
      <c r="R46" s="69" t="s">
        <v>270</v>
      </c>
      <c r="S46" s="69" t="s">
        <v>270</v>
      </c>
      <c r="T46" s="69"/>
      <c r="U46" s="69" t="s">
        <v>270</v>
      </c>
      <c r="V46" s="68">
        <f>SUM(W46:AB46)</f>
        <v>0</v>
      </c>
      <c r="W46" s="69"/>
      <c r="X46" s="69"/>
      <c r="Y46" s="69"/>
      <c r="Z46" s="69"/>
      <c r="AA46" s="69"/>
      <c r="AB46" s="69" t="s">
        <v>270</v>
      </c>
    </row>
    <row r="47" spans="1:28" hidden="1" x14ac:dyDescent="0.25">
      <c r="A47" s="67" t="s">
        <v>293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294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295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185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296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666</v>
      </c>
    </row>
    <row r="53" spans="1:29" x14ac:dyDescent="0.25">
      <c r="A53" s="67" t="s">
        <v>297</v>
      </c>
      <c r="B53" s="67">
        <v>200</v>
      </c>
      <c r="C53" s="67" t="s">
        <v>298</v>
      </c>
      <c r="D53" s="68">
        <f>E53+L53+U53+V53</f>
        <v>44022256.649999999</v>
      </c>
      <c r="E53" s="68">
        <f>SUM(F53:K53)</f>
        <v>35697056.649999999</v>
      </c>
      <c r="F53" s="68">
        <f t="shared" ref="F53:K53" si="4">F55+F73+F83+F95+F97+F99</f>
        <v>3409456.6500000004</v>
      </c>
      <c r="G53" s="68">
        <f t="shared" si="4"/>
        <v>0</v>
      </c>
      <c r="H53" s="68">
        <f t="shared" si="4"/>
        <v>31700500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8325200</v>
      </c>
      <c r="M53" s="68">
        <f t="shared" ref="M53:U53" si="5">M55+M73+M83+M95+M97+M99</f>
        <v>490900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299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631</v>
      </c>
      <c r="B55" s="67">
        <v>210</v>
      </c>
      <c r="C55" s="67">
        <v>100</v>
      </c>
      <c r="D55" s="68">
        <f>E55+L55+U55+V55</f>
        <v>40717865.850000001</v>
      </c>
      <c r="E55" s="68">
        <f>SUM(F55:K55)</f>
        <v>33438765.850000001</v>
      </c>
      <c r="F55" s="68">
        <f t="shared" ref="F55:K55" si="7">F57</f>
        <v>2856665.85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7279100</v>
      </c>
      <c r="M55" s="68">
        <f t="shared" ref="M55:U55" si="8">M57</f>
        <v>390900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185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300</v>
      </c>
      <c r="B57" s="67">
        <v>211</v>
      </c>
      <c r="C57" s="67">
        <v>110</v>
      </c>
      <c r="D57" s="68">
        <f>E57+L57+U57+V57</f>
        <v>40717865.850000001</v>
      </c>
      <c r="E57" s="68">
        <f>SUM(F57:K57)</f>
        <v>33438765.850000001</v>
      </c>
      <c r="F57" s="68">
        <f t="shared" ref="F57:K57" si="10">SUM(F59:F72)</f>
        <v>2856665.85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7279100</v>
      </c>
      <c r="M57" s="68">
        <f t="shared" ref="M57:U57" si="11">SUM(M59:M72)</f>
        <v>390900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185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301</v>
      </c>
      <c r="B59" s="67">
        <v>211.1</v>
      </c>
      <c r="C59" s="67" t="s">
        <v>574</v>
      </c>
      <c r="D59" s="68">
        <f t="shared" ref="D59:D73" si="13">E59+L59+U59+V59</f>
        <v>30060300</v>
      </c>
      <c r="E59" s="68">
        <f>SUM(F59:K59)</f>
        <v>25666100</v>
      </c>
      <c r="F59" s="69">
        <v>2194100</v>
      </c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834</v>
      </c>
      <c r="B60" s="67"/>
      <c r="C60" s="67" t="s">
        <v>835</v>
      </c>
      <c r="D60" s="68">
        <f t="shared" ref="D60" si="15">E60+L60+U60+V60</f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612</v>
      </c>
      <c r="B61" s="67">
        <v>211.2</v>
      </c>
      <c r="C61" s="67" t="s">
        <v>836</v>
      </c>
      <c r="D61" s="68">
        <f t="shared" si="13"/>
        <v>390900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390900</v>
      </c>
      <c r="M61" s="69">
        <v>390900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302</v>
      </c>
      <c r="B62" s="67">
        <v>211.3</v>
      </c>
      <c r="C62" s="67" t="s">
        <v>303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304</v>
      </c>
      <c r="B63" s="67">
        <v>211.4</v>
      </c>
      <c r="C63" s="67" t="s">
        <v>305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306</v>
      </c>
      <c r="B64" s="67">
        <v>211.5</v>
      </c>
      <c r="C64" s="67" t="s">
        <v>576</v>
      </c>
      <c r="D64" s="68">
        <f t="shared" si="13"/>
        <v>0</v>
      </c>
      <c r="E64" s="68">
        <f t="shared" ref="E64:E75" si="16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307</v>
      </c>
      <c r="B65" s="67">
        <v>211.6</v>
      </c>
      <c r="C65" s="67" t="s">
        <v>308</v>
      </c>
      <c r="D65" s="68">
        <f t="shared" si="13"/>
        <v>0</v>
      </c>
      <c r="E65" s="68">
        <f t="shared" si="16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309</v>
      </c>
      <c r="B66" s="67">
        <v>211.7</v>
      </c>
      <c r="C66" s="67" t="s">
        <v>577</v>
      </c>
      <c r="D66" s="68">
        <f t="shared" si="13"/>
        <v>78500</v>
      </c>
      <c r="E66" s="68">
        <f t="shared" si="16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838</v>
      </c>
      <c r="B67" s="67"/>
      <c r="C67" s="67" t="s">
        <v>837</v>
      </c>
      <c r="D67" s="68">
        <f t="shared" ref="D67" si="17">E67+L67+U67+V67</f>
        <v>0</v>
      </c>
      <c r="E67" s="68">
        <f t="shared" ref="E67" si="18"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310</v>
      </c>
      <c r="B68" s="67">
        <v>211.8</v>
      </c>
      <c r="C68" s="67" t="s">
        <v>578</v>
      </c>
      <c r="D68" s="68">
        <f t="shared" si="13"/>
        <v>0</v>
      </c>
      <c r="E68" s="68">
        <f t="shared" si="16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840</v>
      </c>
      <c r="B69" s="67"/>
      <c r="C69" s="67" t="s">
        <v>839</v>
      </c>
      <c r="D69" s="68">
        <f t="shared" ref="D69" si="19">E69+L69+U69+V69</f>
        <v>114900</v>
      </c>
      <c r="E69" s="68">
        <f t="shared" ref="E69" si="20">SUM(F69:K69)</f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311</v>
      </c>
      <c r="B70" s="67">
        <v>211.9</v>
      </c>
      <c r="C70" s="67" t="s">
        <v>312</v>
      </c>
      <c r="D70" s="68">
        <f t="shared" si="13"/>
        <v>0</v>
      </c>
      <c r="E70" s="68">
        <f t="shared" si="16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313</v>
      </c>
      <c r="B71" s="67">
        <v>211.1</v>
      </c>
      <c r="C71" s="67" t="s">
        <v>843</v>
      </c>
      <c r="D71" s="68">
        <f t="shared" si="13"/>
        <v>973600</v>
      </c>
      <c r="E71" s="68">
        <f t="shared" si="16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315</v>
      </c>
      <c r="B72" s="67">
        <v>211.11</v>
      </c>
      <c r="C72" s="67" t="s">
        <v>579</v>
      </c>
      <c r="D72" s="68">
        <f t="shared" si="13"/>
        <v>9078065.8499999996</v>
      </c>
      <c r="E72" s="68">
        <f t="shared" si="16"/>
        <v>7751065.8499999996</v>
      </c>
      <c r="F72" s="69">
        <v>662565.85</v>
      </c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316</v>
      </c>
      <c r="B73" s="67">
        <v>220</v>
      </c>
      <c r="C73" s="67">
        <v>300</v>
      </c>
      <c r="D73" s="68">
        <f t="shared" si="13"/>
        <v>100000</v>
      </c>
      <c r="E73" s="68">
        <f t="shared" si="16"/>
        <v>0</v>
      </c>
      <c r="F73" s="68">
        <f>F75</f>
        <v>0</v>
      </c>
      <c r="G73" s="68">
        <f t="shared" ref="G73:AB73" si="21">G75</f>
        <v>0</v>
      </c>
      <c r="H73" s="68">
        <f t="shared" si="21"/>
        <v>0</v>
      </c>
      <c r="I73" s="68">
        <f t="shared" si="21"/>
        <v>0</v>
      </c>
      <c r="J73" s="68">
        <f t="shared" ref="J73" si="22">J75</f>
        <v>0</v>
      </c>
      <c r="K73" s="68">
        <f t="shared" si="21"/>
        <v>0</v>
      </c>
      <c r="L73" s="68">
        <f>SUM(M73:S73)</f>
        <v>100000</v>
      </c>
      <c r="M73" s="68">
        <f t="shared" si="21"/>
        <v>100000</v>
      </c>
      <c r="N73" s="68">
        <f t="shared" si="21"/>
        <v>0</v>
      </c>
      <c r="O73" s="68">
        <f t="shared" si="21"/>
        <v>0</v>
      </c>
      <c r="P73" s="68">
        <f t="shared" si="21"/>
        <v>0</v>
      </c>
      <c r="Q73" s="68">
        <f t="shared" si="21"/>
        <v>0</v>
      </c>
      <c r="R73" s="68">
        <f t="shared" si="21"/>
        <v>0</v>
      </c>
      <c r="S73" s="68">
        <f>S75</f>
        <v>0</v>
      </c>
      <c r="T73" s="68">
        <f>T75</f>
        <v>0</v>
      </c>
      <c r="U73" s="68">
        <f t="shared" si="21"/>
        <v>0</v>
      </c>
      <c r="V73" s="68">
        <f>SUM(W73:AB73)</f>
        <v>0</v>
      </c>
      <c r="W73" s="68">
        <f t="shared" si="21"/>
        <v>0</v>
      </c>
      <c r="X73" s="68">
        <f t="shared" si="21"/>
        <v>0</v>
      </c>
      <c r="Y73" s="68">
        <f t="shared" si="21"/>
        <v>0</v>
      </c>
      <c r="Z73" s="68">
        <f t="shared" si="21"/>
        <v>0</v>
      </c>
      <c r="AA73" s="68">
        <f t="shared" si="21"/>
        <v>0</v>
      </c>
      <c r="AB73" s="68">
        <f t="shared" si="21"/>
        <v>0</v>
      </c>
    </row>
    <row r="74" spans="1:28" ht="11.25" customHeight="1" x14ac:dyDescent="0.25">
      <c r="A74" s="67" t="s">
        <v>187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317</v>
      </c>
      <c r="B75" s="67">
        <v>221</v>
      </c>
      <c r="C75" s="67">
        <v>320</v>
      </c>
      <c r="D75" s="68">
        <f>E75+L75+U75+V75</f>
        <v>100000</v>
      </c>
      <c r="E75" s="68">
        <f t="shared" si="16"/>
        <v>0</v>
      </c>
      <c r="F75" s="68">
        <f t="shared" ref="F75:K75" si="23">SUM(F77:F82)</f>
        <v>0</v>
      </c>
      <c r="G75" s="68">
        <f t="shared" si="23"/>
        <v>0</v>
      </c>
      <c r="H75" s="68">
        <f t="shared" si="23"/>
        <v>0</v>
      </c>
      <c r="I75" s="68">
        <f t="shared" si="23"/>
        <v>0</v>
      </c>
      <c r="J75" s="68">
        <f t="shared" si="23"/>
        <v>0</v>
      </c>
      <c r="K75" s="68">
        <f t="shared" si="23"/>
        <v>0</v>
      </c>
      <c r="L75" s="68">
        <f>SUM(M75:S75)</f>
        <v>100000</v>
      </c>
      <c r="M75" s="68">
        <f t="shared" ref="M75:U75" si="24">SUM(M77:M82)</f>
        <v>100000</v>
      </c>
      <c r="N75" s="68">
        <f t="shared" si="24"/>
        <v>0</v>
      </c>
      <c r="O75" s="68">
        <f t="shared" si="24"/>
        <v>0</v>
      </c>
      <c r="P75" s="68">
        <f t="shared" si="24"/>
        <v>0</v>
      </c>
      <c r="Q75" s="68">
        <f t="shared" si="24"/>
        <v>0</v>
      </c>
      <c r="R75" s="68">
        <f t="shared" si="24"/>
        <v>0</v>
      </c>
      <c r="S75" s="68">
        <f>SUM(S77:S82)</f>
        <v>0</v>
      </c>
      <c r="T75" s="68">
        <f>SUM(T77:T82)</f>
        <v>0</v>
      </c>
      <c r="U75" s="68">
        <f t="shared" si="24"/>
        <v>0</v>
      </c>
      <c r="V75" s="68">
        <f>SUM(W75:AB75)</f>
        <v>0</v>
      </c>
      <c r="W75" s="68">
        <f t="shared" ref="W75:AB75" si="25">SUM(W77:W82)</f>
        <v>0</v>
      </c>
      <c r="X75" s="68">
        <f t="shared" si="25"/>
        <v>0</v>
      </c>
      <c r="Y75" s="68">
        <f t="shared" si="25"/>
        <v>0</v>
      </c>
      <c r="Z75" s="68">
        <f t="shared" si="25"/>
        <v>0</v>
      </c>
      <c r="AA75" s="68">
        <f t="shared" si="25"/>
        <v>0</v>
      </c>
      <c r="AB75" s="68">
        <f t="shared" si="25"/>
        <v>0</v>
      </c>
    </row>
    <row r="76" spans="1:28" x14ac:dyDescent="0.25">
      <c r="A76" s="67" t="s">
        <v>185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318</v>
      </c>
      <c r="B77" s="67">
        <v>221.1</v>
      </c>
      <c r="C77" s="67" t="s">
        <v>319</v>
      </c>
      <c r="D77" s="68">
        <f t="shared" ref="D77:D83" si="26">E77+L77+U77+V77</f>
        <v>0</v>
      </c>
      <c r="E77" s="68">
        <f t="shared" ref="E77:E83" si="27">SUM(F77:K77)</f>
        <v>0</v>
      </c>
      <c r="F77" s="69"/>
      <c r="G77" s="69"/>
      <c r="H77" s="69"/>
      <c r="I77" s="69"/>
      <c r="J77" s="69"/>
      <c r="K77" s="69"/>
      <c r="L77" s="68">
        <f t="shared" ref="L77:L82" si="28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9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613</v>
      </c>
      <c r="B78" s="67">
        <v>221.2</v>
      </c>
      <c r="C78" s="67" t="s">
        <v>320</v>
      </c>
      <c r="D78" s="68">
        <f t="shared" si="26"/>
        <v>0</v>
      </c>
      <c r="E78" s="68">
        <f t="shared" si="27"/>
        <v>0</v>
      </c>
      <c r="F78" s="69"/>
      <c r="G78" s="69"/>
      <c r="H78" s="69"/>
      <c r="I78" s="69"/>
      <c r="J78" s="69"/>
      <c r="K78" s="69"/>
      <c r="L78" s="68">
        <f t="shared" si="28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9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321</v>
      </c>
      <c r="B79" s="67">
        <v>221.3</v>
      </c>
      <c r="C79" s="67" t="s">
        <v>846</v>
      </c>
      <c r="D79" s="68">
        <f t="shared" si="26"/>
        <v>100000</v>
      </c>
      <c r="E79" s="68">
        <f t="shared" si="27"/>
        <v>0</v>
      </c>
      <c r="F79" s="69"/>
      <c r="G79" s="69"/>
      <c r="H79" s="69"/>
      <c r="I79" s="69"/>
      <c r="J79" s="69"/>
      <c r="K79" s="69"/>
      <c r="L79" s="68">
        <f t="shared" si="28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9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323</v>
      </c>
      <c r="B80" s="67">
        <v>222</v>
      </c>
      <c r="C80" s="67" t="s">
        <v>324</v>
      </c>
      <c r="D80" s="68">
        <f t="shared" si="26"/>
        <v>0</v>
      </c>
      <c r="E80" s="68">
        <f t="shared" si="27"/>
        <v>0</v>
      </c>
      <c r="F80" s="69"/>
      <c r="G80" s="69"/>
      <c r="H80" s="69"/>
      <c r="I80" s="69"/>
      <c r="J80" s="69"/>
      <c r="K80" s="69"/>
      <c r="L80" s="68">
        <f t="shared" si="28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9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325</v>
      </c>
      <c r="B81" s="67">
        <v>223</v>
      </c>
      <c r="C81" s="67" t="s">
        <v>326</v>
      </c>
      <c r="D81" s="68">
        <f t="shared" si="26"/>
        <v>0</v>
      </c>
      <c r="E81" s="68">
        <f t="shared" si="27"/>
        <v>0</v>
      </c>
      <c r="F81" s="69"/>
      <c r="G81" s="69"/>
      <c r="H81" s="69"/>
      <c r="I81" s="69"/>
      <c r="J81" s="69"/>
      <c r="K81" s="69"/>
      <c r="L81" s="68">
        <f t="shared" si="28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9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327</v>
      </c>
      <c r="B82" s="67">
        <v>224</v>
      </c>
      <c r="C82" s="67" t="s">
        <v>328</v>
      </c>
      <c r="D82" s="68">
        <f t="shared" si="26"/>
        <v>0</v>
      </c>
      <c r="E82" s="68">
        <f t="shared" si="27"/>
        <v>0</v>
      </c>
      <c r="F82" s="69"/>
      <c r="G82" s="69"/>
      <c r="H82" s="69"/>
      <c r="I82" s="69"/>
      <c r="J82" s="69"/>
      <c r="K82" s="69"/>
      <c r="L82" s="68">
        <f t="shared" si="28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9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329</v>
      </c>
      <c r="B83" s="67">
        <v>230</v>
      </c>
      <c r="C83" s="67">
        <v>800</v>
      </c>
      <c r="D83" s="68">
        <f t="shared" si="26"/>
        <v>1100</v>
      </c>
      <c r="E83" s="68">
        <f t="shared" si="27"/>
        <v>0</v>
      </c>
      <c r="F83" s="68">
        <f t="shared" ref="F83:K83" si="30">F85+F88</f>
        <v>0</v>
      </c>
      <c r="G83" s="68">
        <f t="shared" si="30"/>
        <v>0</v>
      </c>
      <c r="H83" s="68">
        <f t="shared" si="30"/>
        <v>0</v>
      </c>
      <c r="I83" s="68">
        <f t="shared" si="30"/>
        <v>0</v>
      </c>
      <c r="J83" s="68">
        <f t="shared" si="30"/>
        <v>0</v>
      </c>
      <c r="K83" s="68">
        <f t="shared" si="30"/>
        <v>0</v>
      </c>
      <c r="L83" s="68">
        <f>SUM(M83:T83)</f>
        <v>1100</v>
      </c>
      <c r="M83" s="68">
        <f t="shared" ref="M83:U83" si="31">M85+M88</f>
        <v>0</v>
      </c>
      <c r="N83" s="68">
        <f t="shared" si="31"/>
        <v>1100</v>
      </c>
      <c r="O83" s="68">
        <f t="shared" si="31"/>
        <v>0</v>
      </c>
      <c r="P83" s="68">
        <f t="shared" si="31"/>
        <v>0</v>
      </c>
      <c r="Q83" s="68">
        <f t="shared" si="31"/>
        <v>0</v>
      </c>
      <c r="R83" s="68">
        <f t="shared" si="31"/>
        <v>0</v>
      </c>
      <c r="S83" s="68">
        <f>S85+S88</f>
        <v>0</v>
      </c>
      <c r="T83" s="68">
        <f>T85+T88</f>
        <v>0</v>
      </c>
      <c r="U83" s="68">
        <f t="shared" si="31"/>
        <v>0</v>
      </c>
      <c r="V83" s="68">
        <f t="shared" si="29"/>
        <v>0</v>
      </c>
      <c r="W83" s="68">
        <f t="shared" ref="W83:AB83" si="32">W85+W88</f>
        <v>0</v>
      </c>
      <c r="X83" s="68">
        <f t="shared" si="32"/>
        <v>0</v>
      </c>
      <c r="Y83" s="68">
        <f t="shared" si="32"/>
        <v>0</v>
      </c>
      <c r="Z83" s="68">
        <f t="shared" si="32"/>
        <v>0</v>
      </c>
      <c r="AA83" s="68">
        <f t="shared" si="32"/>
        <v>0</v>
      </c>
      <c r="AB83" s="68">
        <f t="shared" si="32"/>
        <v>0</v>
      </c>
    </row>
    <row r="84" spans="1:28" ht="9.75" customHeight="1" x14ac:dyDescent="0.25">
      <c r="A84" s="67" t="s">
        <v>187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330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33">F87</f>
        <v>0</v>
      </c>
      <c r="G85" s="68">
        <f t="shared" si="33"/>
        <v>0</v>
      </c>
      <c r="H85" s="68">
        <f t="shared" si="33"/>
        <v>0</v>
      </c>
      <c r="I85" s="68">
        <f t="shared" si="33"/>
        <v>0</v>
      </c>
      <c r="J85" s="68">
        <f t="shared" si="33"/>
        <v>0</v>
      </c>
      <c r="K85" s="68">
        <f t="shared" si="33"/>
        <v>0</v>
      </c>
      <c r="L85" s="68">
        <f>SUM(M85:S85)</f>
        <v>0</v>
      </c>
      <c r="M85" s="68">
        <f t="shared" ref="M85:U85" si="34">M87</f>
        <v>0</v>
      </c>
      <c r="N85" s="68">
        <f t="shared" si="34"/>
        <v>0</v>
      </c>
      <c r="O85" s="68">
        <f t="shared" si="34"/>
        <v>0</v>
      </c>
      <c r="P85" s="68">
        <f t="shared" si="34"/>
        <v>0</v>
      </c>
      <c r="Q85" s="68">
        <f t="shared" si="34"/>
        <v>0</v>
      </c>
      <c r="R85" s="68">
        <f t="shared" si="34"/>
        <v>0</v>
      </c>
      <c r="S85" s="68">
        <f>S87</f>
        <v>0</v>
      </c>
      <c r="T85" s="68"/>
      <c r="U85" s="68">
        <f t="shared" si="34"/>
        <v>0</v>
      </c>
      <c r="V85" s="68">
        <f>SUM(W85:AB85)</f>
        <v>0</v>
      </c>
      <c r="W85" s="68">
        <f t="shared" ref="W85:AB85" si="35">W87</f>
        <v>0</v>
      </c>
      <c r="X85" s="68">
        <f t="shared" si="35"/>
        <v>0</v>
      </c>
      <c r="Y85" s="68">
        <f t="shared" si="35"/>
        <v>0</v>
      </c>
      <c r="Z85" s="68">
        <f t="shared" si="35"/>
        <v>0</v>
      </c>
      <c r="AA85" s="68">
        <f t="shared" si="35"/>
        <v>0</v>
      </c>
      <c r="AB85" s="68">
        <f t="shared" si="35"/>
        <v>0</v>
      </c>
    </row>
    <row r="86" spans="1:28" hidden="1" x14ac:dyDescent="0.25">
      <c r="A86" s="67" t="s">
        <v>185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331</v>
      </c>
      <c r="B87" s="67">
        <v>231.1</v>
      </c>
      <c r="C87" s="67" t="s">
        <v>332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333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6">SUM(F90:F93)</f>
        <v>0</v>
      </c>
      <c r="G88" s="68">
        <f t="shared" si="36"/>
        <v>0</v>
      </c>
      <c r="H88" s="68">
        <f t="shared" si="36"/>
        <v>0</v>
      </c>
      <c r="I88" s="68">
        <f t="shared" si="36"/>
        <v>0</v>
      </c>
      <c r="J88" s="68">
        <f t="shared" si="36"/>
        <v>0</v>
      </c>
      <c r="K88" s="68">
        <f t="shared" si="36"/>
        <v>0</v>
      </c>
      <c r="L88" s="68">
        <f>SUM(M88:T88)</f>
        <v>1100</v>
      </c>
      <c r="M88" s="68">
        <f t="shared" ref="M88:U88" si="37">SUM(M90:M93)</f>
        <v>0</v>
      </c>
      <c r="N88" s="68">
        <f t="shared" si="37"/>
        <v>1100</v>
      </c>
      <c r="O88" s="68">
        <f t="shared" si="37"/>
        <v>0</v>
      </c>
      <c r="P88" s="68">
        <f t="shared" si="37"/>
        <v>0</v>
      </c>
      <c r="Q88" s="68">
        <f t="shared" si="37"/>
        <v>0</v>
      </c>
      <c r="R88" s="68">
        <f t="shared" si="37"/>
        <v>0</v>
      </c>
      <c r="S88" s="68">
        <f>SUM(S90:S93)</f>
        <v>0</v>
      </c>
      <c r="T88" s="68">
        <f>SUM(T90:T93)</f>
        <v>0</v>
      </c>
      <c r="U88" s="68">
        <f t="shared" si="37"/>
        <v>0</v>
      </c>
      <c r="V88" s="68">
        <f>SUM(W88:AB88)</f>
        <v>0</v>
      </c>
      <c r="W88" s="68">
        <f t="shared" ref="W88:AB88" si="38">SUM(W90:W93)</f>
        <v>0</v>
      </c>
      <c r="X88" s="68">
        <f t="shared" si="38"/>
        <v>0</v>
      </c>
      <c r="Y88" s="68">
        <f t="shared" si="38"/>
        <v>0</v>
      </c>
      <c r="Z88" s="68">
        <f t="shared" si="38"/>
        <v>0</v>
      </c>
      <c r="AA88" s="68">
        <f t="shared" si="38"/>
        <v>0</v>
      </c>
      <c r="AB88" s="68">
        <f t="shared" si="38"/>
        <v>0</v>
      </c>
    </row>
    <row r="89" spans="1:28" ht="10.5" customHeight="1" x14ac:dyDescent="0.25">
      <c r="A89" s="67" t="s">
        <v>185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334</v>
      </c>
      <c r="B90" s="67">
        <v>232.1</v>
      </c>
      <c r="C90" s="67" t="s">
        <v>780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336</v>
      </c>
      <c r="B91" s="67">
        <v>232.2</v>
      </c>
      <c r="C91" s="67" t="s">
        <v>337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338</v>
      </c>
      <c r="B92" s="67">
        <v>232.3</v>
      </c>
      <c r="C92" s="67" t="s">
        <v>339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340</v>
      </c>
      <c r="B93" s="67">
        <v>232.4</v>
      </c>
      <c r="C93" s="67" t="s">
        <v>341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342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28" ht="25.5" hidden="1" x14ac:dyDescent="0.25">
      <c r="A97" s="67" t="s">
        <v>343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28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28" ht="15" customHeight="1" x14ac:dyDescent="0.25">
      <c r="A99" s="67" t="s">
        <v>344</v>
      </c>
      <c r="B99" s="67">
        <v>260</v>
      </c>
      <c r="C99" s="67">
        <v>200</v>
      </c>
      <c r="D99" s="68">
        <f>E99+L99+U99+V99</f>
        <v>3203290.8</v>
      </c>
      <c r="E99" s="68">
        <f>SUM(F99:K99)</f>
        <v>2258290.7999999998</v>
      </c>
      <c r="F99" s="68">
        <f t="shared" ref="F99:K99" si="39">F101</f>
        <v>552790.80000000005</v>
      </c>
      <c r="G99" s="68">
        <f t="shared" si="39"/>
        <v>0</v>
      </c>
      <c r="H99" s="68">
        <f t="shared" si="39"/>
        <v>1118400</v>
      </c>
      <c r="I99" s="68">
        <f t="shared" si="39"/>
        <v>0</v>
      </c>
      <c r="J99" s="68">
        <f t="shared" si="39"/>
        <v>68200</v>
      </c>
      <c r="K99" s="68">
        <f t="shared" si="39"/>
        <v>518900</v>
      </c>
      <c r="L99" s="68">
        <f>SUM(M99:T99)</f>
        <v>945000</v>
      </c>
      <c r="M99" s="68">
        <f t="shared" ref="M99:U99" si="40">M101</f>
        <v>0</v>
      </c>
      <c r="N99" s="68">
        <f t="shared" si="40"/>
        <v>0</v>
      </c>
      <c r="O99" s="68">
        <f t="shared" si="40"/>
        <v>0</v>
      </c>
      <c r="P99" s="68">
        <f t="shared" si="40"/>
        <v>0</v>
      </c>
      <c r="Q99" s="68">
        <f t="shared" si="40"/>
        <v>0</v>
      </c>
      <c r="R99" s="68">
        <f t="shared" si="40"/>
        <v>945000</v>
      </c>
      <c r="S99" s="68">
        <f>S101</f>
        <v>0</v>
      </c>
      <c r="T99" s="68">
        <f>T101</f>
        <v>0</v>
      </c>
      <c r="U99" s="68">
        <f t="shared" si="40"/>
        <v>0</v>
      </c>
      <c r="V99" s="68">
        <f>SUM(W99:AB99)</f>
        <v>0</v>
      </c>
      <c r="W99" s="68">
        <f t="shared" ref="W99:AB99" si="41">W101</f>
        <v>0</v>
      </c>
      <c r="X99" s="68">
        <f t="shared" si="41"/>
        <v>0</v>
      </c>
      <c r="Y99" s="68">
        <f t="shared" si="41"/>
        <v>0</v>
      </c>
      <c r="Z99" s="68">
        <f t="shared" si="41"/>
        <v>0</v>
      </c>
      <c r="AA99" s="68">
        <f t="shared" si="41"/>
        <v>0</v>
      </c>
      <c r="AB99" s="68">
        <f t="shared" si="41"/>
        <v>0</v>
      </c>
    </row>
    <row r="100" spans="1:28" ht="11.25" customHeight="1" x14ac:dyDescent="0.25">
      <c r="A100" s="67" t="s">
        <v>187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28" ht="12.75" customHeight="1" x14ac:dyDescent="0.25">
      <c r="A101" s="67" t="s">
        <v>345</v>
      </c>
      <c r="B101" s="67">
        <v>261</v>
      </c>
      <c r="C101" s="67">
        <v>240</v>
      </c>
      <c r="D101" s="68">
        <f>E101+L101+U101+V101</f>
        <v>3203290.8</v>
      </c>
      <c r="E101" s="68">
        <f>SUM(F101:K101)</f>
        <v>2258290.7999999998</v>
      </c>
      <c r="F101" s="68">
        <f t="shared" ref="F101:K101" si="42">SUM(F103:F139)</f>
        <v>552790.80000000005</v>
      </c>
      <c r="G101" s="68">
        <f t="shared" si="42"/>
        <v>0</v>
      </c>
      <c r="H101" s="68">
        <f t="shared" si="42"/>
        <v>1118400</v>
      </c>
      <c r="I101" s="68">
        <f t="shared" si="42"/>
        <v>0</v>
      </c>
      <c r="J101" s="68">
        <f t="shared" si="42"/>
        <v>68200</v>
      </c>
      <c r="K101" s="68">
        <f t="shared" si="42"/>
        <v>518900</v>
      </c>
      <c r="L101" s="68">
        <f>SUM(M101:T101)</f>
        <v>945000</v>
      </c>
      <c r="M101" s="68">
        <f t="shared" ref="M101:U101" si="43">SUM(M103:M139)</f>
        <v>0</v>
      </c>
      <c r="N101" s="68">
        <f t="shared" si="43"/>
        <v>0</v>
      </c>
      <c r="O101" s="68">
        <f t="shared" si="43"/>
        <v>0</v>
      </c>
      <c r="P101" s="68">
        <f t="shared" si="43"/>
        <v>0</v>
      </c>
      <c r="Q101" s="68">
        <f t="shared" si="43"/>
        <v>0</v>
      </c>
      <c r="R101" s="68">
        <f t="shared" si="43"/>
        <v>945000</v>
      </c>
      <c r="S101" s="68">
        <f>SUM(S103:S139)</f>
        <v>0</v>
      </c>
      <c r="T101" s="68">
        <f>SUM(T103:T139)</f>
        <v>0</v>
      </c>
      <c r="U101" s="68">
        <f t="shared" si="43"/>
        <v>0</v>
      </c>
      <c r="V101" s="68">
        <f>SUM(W101:AB101)</f>
        <v>0</v>
      </c>
      <c r="W101" s="68">
        <f t="shared" ref="W101:AB101" si="44">SUM(W103:W139)</f>
        <v>0</v>
      </c>
      <c r="X101" s="68">
        <f t="shared" si="44"/>
        <v>0</v>
      </c>
      <c r="Y101" s="68">
        <f t="shared" si="44"/>
        <v>0</v>
      </c>
      <c r="Z101" s="68">
        <f t="shared" si="44"/>
        <v>0</v>
      </c>
      <c r="AA101" s="68">
        <f t="shared" si="44"/>
        <v>0</v>
      </c>
      <c r="AB101" s="68">
        <f t="shared" si="44"/>
        <v>0</v>
      </c>
    </row>
    <row r="102" spans="1:28" x14ac:dyDescent="0.25">
      <c r="A102" s="67" t="s">
        <v>185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28" ht="25.5" hidden="1" x14ac:dyDescent="0.25">
      <c r="A103" s="67" t="s">
        <v>346</v>
      </c>
      <c r="B103" s="67">
        <v>261.10000000000002</v>
      </c>
      <c r="C103" s="67" t="s">
        <v>347</v>
      </c>
      <c r="D103" s="68">
        <f t="shared" ref="D103:D139" si="45">E103+L103+U103+V103</f>
        <v>0</v>
      </c>
      <c r="E103" s="68">
        <f t="shared" ref="E103:E139" si="46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7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28" hidden="1" x14ac:dyDescent="0.25">
      <c r="A104" s="67" t="s">
        <v>348</v>
      </c>
      <c r="B104" s="67">
        <v>261.2</v>
      </c>
      <c r="C104" s="67" t="s">
        <v>349</v>
      </c>
      <c r="D104" s="68">
        <f t="shared" si="45"/>
        <v>0</v>
      </c>
      <c r="E104" s="68">
        <f t="shared" si="46"/>
        <v>0</v>
      </c>
      <c r="F104" s="69"/>
      <c r="G104" s="69"/>
      <c r="H104" s="69"/>
      <c r="I104" s="69"/>
      <c r="J104" s="69"/>
      <c r="K104" s="69"/>
      <c r="L104" s="68">
        <f t="shared" si="47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38.25" hidden="1" x14ac:dyDescent="0.25">
      <c r="A105" s="67" t="s">
        <v>350</v>
      </c>
      <c r="B105" s="67">
        <v>261.3</v>
      </c>
      <c r="C105" s="67" t="s">
        <v>351</v>
      </c>
      <c r="D105" s="68">
        <f t="shared" si="45"/>
        <v>0</v>
      </c>
      <c r="E105" s="68">
        <f t="shared" si="46"/>
        <v>0</v>
      </c>
      <c r="F105" s="69"/>
      <c r="G105" s="69"/>
      <c r="H105" s="69"/>
      <c r="I105" s="69"/>
      <c r="J105" s="69"/>
      <c r="K105" s="69"/>
      <c r="L105" s="68">
        <f t="shared" si="47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8">SUM(W105:AB105)</f>
        <v>0</v>
      </c>
      <c r="W105" s="69"/>
      <c r="X105" s="69"/>
      <c r="Y105" s="69"/>
      <c r="Z105" s="69"/>
      <c r="AA105" s="69"/>
      <c r="AB105" s="69"/>
    </row>
    <row r="106" spans="1:28" hidden="1" x14ac:dyDescent="0.25">
      <c r="A106" s="67" t="s">
        <v>352</v>
      </c>
      <c r="B106" s="67">
        <v>261.39999999999998</v>
      </c>
      <c r="C106" s="67" t="s">
        <v>353</v>
      </c>
      <c r="D106" s="68">
        <f t="shared" si="45"/>
        <v>0</v>
      </c>
      <c r="E106" s="68">
        <f t="shared" si="46"/>
        <v>0</v>
      </c>
      <c r="F106" s="69"/>
      <c r="G106" s="69"/>
      <c r="H106" s="69"/>
      <c r="I106" s="69"/>
      <c r="J106" s="69"/>
      <c r="K106" s="69"/>
      <c r="L106" s="68">
        <f t="shared" si="47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8"/>
        <v>0</v>
      </c>
      <c r="W106" s="69"/>
      <c r="X106" s="69"/>
      <c r="Y106" s="69"/>
      <c r="Z106" s="69"/>
      <c r="AA106" s="69"/>
      <c r="AB106" s="69"/>
    </row>
    <row r="107" spans="1:28" x14ac:dyDescent="0.25">
      <c r="A107" s="67" t="s">
        <v>354</v>
      </c>
      <c r="B107" s="67">
        <v>261.5</v>
      </c>
      <c r="C107" s="67" t="s">
        <v>580</v>
      </c>
      <c r="D107" s="68">
        <f t="shared" si="45"/>
        <v>17000</v>
      </c>
      <c r="E107" s="68">
        <f t="shared" si="46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7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8"/>
        <v>0</v>
      </c>
      <c r="W107" s="69"/>
      <c r="X107" s="69"/>
      <c r="Y107" s="69"/>
      <c r="Z107" s="69"/>
      <c r="AA107" s="69"/>
      <c r="AB107" s="69"/>
    </row>
    <row r="108" spans="1:28" x14ac:dyDescent="0.25">
      <c r="A108" s="67" t="s">
        <v>355</v>
      </c>
      <c r="B108" s="67">
        <v>261.60000000000002</v>
      </c>
      <c r="C108" s="67" t="s">
        <v>639</v>
      </c>
      <c r="D108" s="68">
        <f t="shared" si="45"/>
        <v>48000</v>
      </c>
      <c r="E108" s="68">
        <f t="shared" si="46"/>
        <v>48000</v>
      </c>
      <c r="F108" s="69"/>
      <c r="G108" s="69"/>
      <c r="H108" s="69">
        <v>48000</v>
      </c>
      <c r="I108" s="69"/>
      <c r="J108" s="69"/>
      <c r="K108" s="69"/>
      <c r="L108" s="68">
        <f t="shared" si="47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8"/>
        <v>0</v>
      </c>
      <c r="W108" s="69"/>
      <c r="X108" s="69"/>
      <c r="Y108" s="69"/>
      <c r="Z108" s="69"/>
      <c r="AA108" s="69"/>
      <c r="AB108" s="69"/>
    </row>
    <row r="109" spans="1:28" x14ac:dyDescent="0.25">
      <c r="A109" s="67" t="s">
        <v>310</v>
      </c>
      <c r="B109" s="67">
        <v>261.7</v>
      </c>
      <c r="C109" s="67" t="s">
        <v>581</v>
      </c>
      <c r="D109" s="68">
        <f t="shared" si="45"/>
        <v>945000</v>
      </c>
      <c r="E109" s="68">
        <f t="shared" si="46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8"/>
        <v>0</v>
      </c>
      <c r="W109" s="69"/>
      <c r="X109" s="69"/>
      <c r="Y109" s="69"/>
      <c r="Z109" s="69"/>
      <c r="AA109" s="69"/>
      <c r="AB109" s="69"/>
    </row>
    <row r="110" spans="1:28" ht="15.75" customHeight="1" x14ac:dyDescent="0.25">
      <c r="A110" s="67" t="s">
        <v>356</v>
      </c>
      <c r="B110" s="67">
        <v>261.8</v>
      </c>
      <c r="C110" s="67" t="s">
        <v>582</v>
      </c>
      <c r="D110" s="68">
        <f t="shared" si="45"/>
        <v>630200</v>
      </c>
      <c r="E110" s="68">
        <f t="shared" si="46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9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8"/>
        <v>0</v>
      </c>
      <c r="W110" s="69"/>
      <c r="X110" s="69"/>
      <c r="Y110" s="69"/>
      <c r="Z110" s="69"/>
      <c r="AA110" s="69"/>
      <c r="AB110" s="69"/>
    </row>
    <row r="111" spans="1:28" ht="15.75" customHeight="1" x14ac:dyDescent="0.25">
      <c r="A111" s="67" t="s">
        <v>357</v>
      </c>
      <c r="B111" s="67">
        <v>261.89999999999998</v>
      </c>
      <c r="C111" s="67" t="s">
        <v>583</v>
      </c>
      <c r="D111" s="68">
        <f t="shared" si="45"/>
        <v>110000</v>
      </c>
      <c r="E111" s="68">
        <f t="shared" si="46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9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8"/>
        <v>0</v>
      </c>
      <c r="W111" s="69"/>
      <c r="X111" s="69"/>
      <c r="Y111" s="69"/>
      <c r="Z111" s="69"/>
      <c r="AA111" s="69"/>
      <c r="AB111" s="69"/>
    </row>
    <row r="112" spans="1:28" ht="25.5" customHeight="1" x14ac:dyDescent="0.25">
      <c r="A112" s="67" t="s">
        <v>358</v>
      </c>
      <c r="B112" s="67">
        <v>261.10000000000002</v>
      </c>
      <c r="C112" s="67" t="s">
        <v>584</v>
      </c>
      <c r="D112" s="68">
        <f t="shared" si="45"/>
        <v>11200</v>
      </c>
      <c r="E112" s="68">
        <f t="shared" si="46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9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8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359</v>
      </c>
      <c r="B113" s="67">
        <v>261.11</v>
      </c>
      <c r="C113" s="67" t="s">
        <v>585</v>
      </c>
      <c r="D113" s="68">
        <f t="shared" si="45"/>
        <v>15500</v>
      </c>
      <c r="E113" s="68">
        <f t="shared" si="46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9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8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360</v>
      </c>
      <c r="B114" s="67">
        <v>261.12</v>
      </c>
      <c r="C114" s="67" t="s">
        <v>586</v>
      </c>
      <c r="D114" s="68">
        <f t="shared" si="45"/>
        <v>0</v>
      </c>
      <c r="E114" s="68">
        <f t="shared" si="46"/>
        <v>0</v>
      </c>
      <c r="F114" s="69"/>
      <c r="G114" s="69"/>
      <c r="H114" s="69"/>
      <c r="I114" s="69"/>
      <c r="J114" s="69"/>
      <c r="K114" s="69"/>
      <c r="L114" s="68">
        <f t="shared" si="49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8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361</v>
      </c>
      <c r="B115" s="67">
        <v>261.13</v>
      </c>
      <c r="C115" s="67" t="s">
        <v>587</v>
      </c>
      <c r="D115" s="68">
        <f t="shared" si="45"/>
        <v>0</v>
      </c>
      <c r="E115" s="68">
        <f t="shared" si="46"/>
        <v>0</v>
      </c>
      <c r="F115" s="69"/>
      <c r="G115" s="69"/>
      <c r="H115" s="69"/>
      <c r="I115" s="69"/>
      <c r="J115" s="69"/>
      <c r="K115" s="69"/>
      <c r="L115" s="68">
        <f t="shared" si="49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8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362</v>
      </c>
      <c r="B116" s="67">
        <v>261.14</v>
      </c>
      <c r="C116" s="67" t="s">
        <v>588</v>
      </c>
      <c r="D116" s="68">
        <f t="shared" si="45"/>
        <v>355005</v>
      </c>
      <c r="E116" s="68">
        <f t="shared" si="46"/>
        <v>355005</v>
      </c>
      <c r="F116" s="69">
        <v>267205</v>
      </c>
      <c r="G116" s="69"/>
      <c r="H116" s="69">
        <v>79900</v>
      </c>
      <c r="I116" s="69"/>
      <c r="J116" s="69">
        <v>7900</v>
      </c>
      <c r="K116" s="69"/>
      <c r="L116" s="68">
        <f t="shared" si="49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8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363</v>
      </c>
      <c r="B117" s="67">
        <v>261.14999999999998</v>
      </c>
      <c r="C117" s="67" t="s">
        <v>589</v>
      </c>
      <c r="D117" s="68">
        <f t="shared" si="45"/>
        <v>96600</v>
      </c>
      <c r="E117" s="68">
        <f t="shared" si="46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9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8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364</v>
      </c>
      <c r="B118" s="67">
        <v>261.16000000000003</v>
      </c>
      <c r="C118" s="67" t="s">
        <v>365</v>
      </c>
      <c r="D118" s="68">
        <f t="shared" si="45"/>
        <v>0</v>
      </c>
      <c r="E118" s="68">
        <f t="shared" si="46"/>
        <v>0</v>
      </c>
      <c r="F118" s="69"/>
      <c r="G118" s="69"/>
      <c r="H118" s="69"/>
      <c r="I118" s="69"/>
      <c r="J118" s="69"/>
      <c r="K118" s="69"/>
      <c r="L118" s="68">
        <f t="shared" si="49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8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366</v>
      </c>
      <c r="B119" s="67">
        <v>261.17</v>
      </c>
      <c r="C119" s="67" t="s">
        <v>590</v>
      </c>
      <c r="D119" s="68">
        <f t="shared" si="45"/>
        <v>107900</v>
      </c>
      <c r="E119" s="68">
        <f t="shared" si="46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9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8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845</v>
      </c>
      <c r="B120" s="67"/>
      <c r="C120" s="67" t="s">
        <v>844</v>
      </c>
      <c r="D120" s="68">
        <f t="shared" ref="D120" si="50">E120+L120+U120+V120</f>
        <v>107000</v>
      </c>
      <c r="E120" s="68">
        <f t="shared" ref="E120" si="51">SUM(F120:K120)</f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9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8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367</v>
      </c>
      <c r="B121" s="67">
        <v>261.18</v>
      </c>
      <c r="C121" s="67" t="s">
        <v>591</v>
      </c>
      <c r="D121" s="68">
        <f t="shared" si="45"/>
        <v>0</v>
      </c>
      <c r="E121" s="68">
        <f t="shared" si="46"/>
        <v>0</v>
      </c>
      <c r="F121" s="69"/>
      <c r="G121" s="69"/>
      <c r="H121" s="69"/>
      <c r="I121" s="69"/>
      <c r="J121" s="69"/>
      <c r="K121" s="69"/>
      <c r="L121" s="68">
        <f t="shared" si="49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8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368</v>
      </c>
      <c r="B122" s="67">
        <v>261.19</v>
      </c>
      <c r="C122" s="67" t="s">
        <v>592</v>
      </c>
      <c r="D122" s="68">
        <f t="shared" si="45"/>
        <v>0</v>
      </c>
      <c r="E122" s="68">
        <f t="shared" si="46"/>
        <v>0</v>
      </c>
      <c r="F122" s="69"/>
      <c r="G122" s="69"/>
      <c r="H122" s="69"/>
      <c r="I122" s="69"/>
      <c r="J122" s="69"/>
      <c r="K122" s="69"/>
      <c r="L122" s="68">
        <f t="shared" si="49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8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369</v>
      </c>
      <c r="B123" s="67">
        <v>261.2</v>
      </c>
      <c r="C123" s="67" t="s">
        <v>593</v>
      </c>
      <c r="D123" s="68">
        <f t="shared" si="45"/>
        <v>759885.8</v>
      </c>
      <c r="E123" s="68">
        <f t="shared" si="46"/>
        <v>759885.8</v>
      </c>
      <c r="F123" s="69">
        <v>285585.8</v>
      </c>
      <c r="G123" s="69"/>
      <c r="H123" s="69">
        <f>8900-2792.62+89200-95307.38</f>
        <v>0</v>
      </c>
      <c r="I123" s="69"/>
      <c r="J123" s="69"/>
      <c r="K123" s="69">
        <f>205623+268677</f>
        <v>474300</v>
      </c>
      <c r="L123" s="68">
        <f t="shared" si="49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8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370</v>
      </c>
      <c r="B124" s="67">
        <v>261.20999999999998</v>
      </c>
      <c r="C124" s="67" t="s">
        <v>371</v>
      </c>
      <c r="D124" s="68">
        <f t="shared" si="45"/>
        <v>0</v>
      </c>
      <c r="E124" s="68">
        <f t="shared" si="46"/>
        <v>0</v>
      </c>
      <c r="F124" s="69"/>
      <c r="G124" s="69"/>
      <c r="H124" s="69"/>
      <c r="I124" s="69"/>
      <c r="J124" s="69"/>
      <c r="K124" s="69"/>
      <c r="L124" s="68">
        <f t="shared" si="49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8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372</v>
      </c>
      <c r="B125" s="67">
        <v>261.22000000000003</v>
      </c>
      <c r="C125" s="67" t="s">
        <v>594</v>
      </c>
      <c r="D125" s="68">
        <f t="shared" si="45"/>
        <v>0</v>
      </c>
      <c r="E125" s="68">
        <f t="shared" si="46"/>
        <v>0</v>
      </c>
      <c r="F125" s="69"/>
      <c r="G125" s="69"/>
      <c r="H125" s="69"/>
      <c r="I125" s="69"/>
      <c r="J125" s="69"/>
      <c r="K125" s="69"/>
      <c r="L125" s="68">
        <f t="shared" si="49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8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373</v>
      </c>
      <c r="B126" s="67">
        <v>261.23</v>
      </c>
      <c r="C126" s="67" t="s">
        <v>595</v>
      </c>
      <c r="D126" s="68">
        <f t="shared" si="45"/>
        <v>0</v>
      </c>
      <c r="E126" s="68">
        <f t="shared" si="46"/>
        <v>0</v>
      </c>
      <c r="F126" s="69"/>
      <c r="G126" s="69"/>
      <c r="H126" s="69"/>
      <c r="I126" s="69"/>
      <c r="J126" s="69"/>
      <c r="K126" s="69"/>
      <c r="L126" s="68">
        <f t="shared" si="49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8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374</v>
      </c>
      <c r="B127" s="67">
        <v>261.24</v>
      </c>
      <c r="C127" s="67" t="s">
        <v>375</v>
      </c>
      <c r="D127" s="68">
        <f t="shared" si="45"/>
        <v>0</v>
      </c>
      <c r="E127" s="68">
        <f t="shared" si="46"/>
        <v>0</v>
      </c>
      <c r="F127" s="69"/>
      <c r="G127" s="69"/>
      <c r="H127" s="69"/>
      <c r="I127" s="69"/>
      <c r="J127" s="69"/>
      <c r="K127" s="69"/>
      <c r="L127" s="68">
        <f t="shared" si="49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8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376</v>
      </c>
      <c r="B128" s="67">
        <v>261.25</v>
      </c>
      <c r="C128" s="67" t="s">
        <v>596</v>
      </c>
      <c r="D128" s="68">
        <f t="shared" si="45"/>
        <v>0</v>
      </c>
      <c r="E128" s="68">
        <f t="shared" si="46"/>
        <v>0</v>
      </c>
      <c r="F128" s="69"/>
      <c r="G128" s="69"/>
      <c r="H128" s="69"/>
      <c r="I128" s="69"/>
      <c r="J128" s="69"/>
      <c r="K128" s="69"/>
      <c r="L128" s="68">
        <f t="shared" si="49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8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377</v>
      </c>
      <c r="B129" s="67">
        <v>261.26</v>
      </c>
      <c r="C129" s="67" t="s">
        <v>597</v>
      </c>
      <c r="D129" s="68">
        <f t="shared" si="45"/>
        <v>0</v>
      </c>
      <c r="E129" s="68">
        <f t="shared" si="46"/>
        <v>0</v>
      </c>
      <c r="F129" s="69"/>
      <c r="G129" s="69"/>
      <c r="H129" s="69"/>
      <c r="I129" s="69"/>
      <c r="J129" s="69"/>
      <c r="K129" s="69"/>
      <c r="L129" s="68">
        <f t="shared" si="49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8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378</v>
      </c>
      <c r="B130" s="67">
        <v>261.27</v>
      </c>
      <c r="C130" s="67" t="s">
        <v>379</v>
      </c>
      <c r="D130" s="68">
        <f t="shared" si="45"/>
        <v>0</v>
      </c>
      <c r="E130" s="68">
        <f t="shared" si="46"/>
        <v>0</v>
      </c>
      <c r="F130" s="69"/>
      <c r="G130" s="69"/>
      <c r="H130" s="69"/>
      <c r="I130" s="69"/>
      <c r="J130" s="69"/>
      <c r="K130" s="69"/>
      <c r="L130" s="68">
        <f t="shared" si="49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8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380</v>
      </c>
      <c r="B131" s="67">
        <v>261.27999999999997</v>
      </c>
      <c r="C131" s="67" t="s">
        <v>809</v>
      </c>
      <c r="D131" s="68">
        <f t="shared" si="45"/>
        <v>0</v>
      </c>
      <c r="E131" s="68">
        <f t="shared" si="46"/>
        <v>0</v>
      </c>
      <c r="F131" s="69"/>
      <c r="G131" s="69"/>
      <c r="H131" s="69"/>
      <c r="I131" s="69"/>
      <c r="J131" s="69"/>
      <c r="K131" s="69"/>
      <c r="L131" s="68">
        <f t="shared" si="49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8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381</v>
      </c>
      <c r="B132" s="67">
        <v>261.29000000000002</v>
      </c>
      <c r="C132" s="67" t="s">
        <v>382</v>
      </c>
      <c r="D132" s="68">
        <f t="shared" si="45"/>
        <v>0</v>
      </c>
      <c r="E132" s="68">
        <f t="shared" si="46"/>
        <v>0</v>
      </c>
      <c r="F132" s="69"/>
      <c r="G132" s="69"/>
      <c r="H132" s="69"/>
      <c r="I132" s="69"/>
      <c r="J132" s="69"/>
      <c r="K132" s="69"/>
      <c r="L132" s="68">
        <f t="shared" si="49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8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383</v>
      </c>
      <c r="B133" s="67">
        <v>261.3</v>
      </c>
      <c r="C133" s="67" t="s">
        <v>599</v>
      </c>
      <c r="D133" s="68">
        <f t="shared" si="45"/>
        <v>0</v>
      </c>
      <c r="E133" s="68">
        <f t="shared" si="46"/>
        <v>0</v>
      </c>
      <c r="F133" s="69"/>
      <c r="G133" s="69"/>
      <c r="H133" s="69"/>
      <c r="I133" s="69"/>
      <c r="J133" s="69"/>
      <c r="K133" s="69"/>
      <c r="L133" s="68">
        <f t="shared" si="49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8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384</v>
      </c>
      <c r="B134" s="67">
        <v>261.31</v>
      </c>
      <c r="C134" s="67" t="s">
        <v>385</v>
      </c>
      <c r="D134" s="68">
        <f t="shared" si="45"/>
        <v>0</v>
      </c>
      <c r="E134" s="68">
        <f t="shared" si="46"/>
        <v>0</v>
      </c>
      <c r="F134" s="69"/>
      <c r="G134" s="69"/>
      <c r="H134" s="69"/>
      <c r="I134" s="69"/>
      <c r="J134" s="69"/>
      <c r="K134" s="69"/>
      <c r="L134" s="68">
        <f t="shared" si="49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8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386</v>
      </c>
      <c r="B135" s="67">
        <v>261.32</v>
      </c>
      <c r="C135" s="67" t="s">
        <v>600</v>
      </c>
      <c r="D135" s="68">
        <f t="shared" si="45"/>
        <v>0</v>
      </c>
      <c r="E135" s="68">
        <f t="shared" si="46"/>
        <v>0</v>
      </c>
      <c r="F135" s="69"/>
      <c r="G135" s="69"/>
      <c r="H135" s="69"/>
      <c r="I135" s="69"/>
      <c r="J135" s="69"/>
      <c r="K135" s="69"/>
      <c r="L135" s="68">
        <f t="shared" si="49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8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387</v>
      </c>
      <c r="B136" s="67">
        <v>261.33</v>
      </c>
      <c r="C136" s="67" t="s">
        <v>601</v>
      </c>
      <c r="D136" s="68">
        <f t="shared" si="45"/>
        <v>0</v>
      </c>
      <c r="E136" s="68">
        <f t="shared" si="46"/>
        <v>0</v>
      </c>
      <c r="F136" s="69"/>
      <c r="G136" s="69"/>
      <c r="H136" s="69"/>
      <c r="I136" s="69"/>
      <c r="J136" s="69"/>
      <c r="K136" s="69"/>
      <c r="L136" s="68">
        <f t="shared" si="49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8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388</v>
      </c>
      <c r="B137" s="67">
        <v>261.33999999999997</v>
      </c>
      <c r="C137" s="67" t="s">
        <v>389</v>
      </c>
      <c r="D137" s="68">
        <f t="shared" si="45"/>
        <v>0</v>
      </c>
      <c r="E137" s="68">
        <f t="shared" si="46"/>
        <v>0</v>
      </c>
      <c r="F137" s="69"/>
      <c r="G137" s="69"/>
      <c r="H137" s="69"/>
      <c r="I137" s="69"/>
      <c r="J137" s="69"/>
      <c r="K137" s="69"/>
      <c r="L137" s="68">
        <f t="shared" si="49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8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390</v>
      </c>
      <c r="B138" s="67">
        <v>261.35000000000002</v>
      </c>
      <c r="C138" s="67" t="s">
        <v>391</v>
      </c>
      <c r="D138" s="68">
        <f t="shared" si="45"/>
        <v>0</v>
      </c>
      <c r="E138" s="68">
        <f t="shared" si="46"/>
        <v>0</v>
      </c>
      <c r="F138" s="69"/>
      <c r="G138" s="69"/>
      <c r="H138" s="69"/>
      <c r="I138" s="69"/>
      <c r="J138" s="69"/>
      <c r="K138" s="69"/>
      <c r="L138" s="68">
        <f t="shared" si="49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8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392</v>
      </c>
      <c r="B139" s="67">
        <v>261.36</v>
      </c>
      <c r="C139" s="67" t="s">
        <v>602</v>
      </c>
      <c r="D139" s="68">
        <f t="shared" si="45"/>
        <v>0</v>
      </c>
      <c r="E139" s="68">
        <f t="shared" si="46"/>
        <v>0</v>
      </c>
      <c r="F139" s="69"/>
      <c r="G139" s="69"/>
      <c r="H139" s="69"/>
      <c r="I139" s="69"/>
      <c r="J139" s="69"/>
      <c r="K139" s="69"/>
      <c r="L139" s="68">
        <f t="shared" si="49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8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393</v>
      </c>
      <c r="B141" s="67">
        <v>300</v>
      </c>
      <c r="C141" s="67" t="s">
        <v>270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185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394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395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396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185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397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398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399</v>
      </c>
      <c r="B149" s="67">
        <v>500</v>
      </c>
      <c r="C149" s="67" t="s">
        <v>298</v>
      </c>
      <c r="D149" s="68">
        <f>E149+L149+U149+V149</f>
        <v>3415469.65</v>
      </c>
      <c r="E149" s="68">
        <f>SUM(F149:K149)</f>
        <v>3409456.65</v>
      </c>
      <c r="F149" s="69">
        <f>3392879.05+16577.6</f>
        <v>3409456.65</v>
      </c>
      <c r="G149" s="69"/>
      <c r="H149" s="69"/>
      <c r="I149" s="69"/>
      <c r="J149" s="69"/>
      <c r="K149" s="69"/>
      <c r="L149" s="68">
        <f>SUM(M149:T149)</f>
        <v>6013</v>
      </c>
      <c r="M149" s="69">
        <v>6013</v>
      </c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400</v>
      </c>
      <c r="B150" s="67">
        <v>600</v>
      </c>
      <c r="C150" s="67" t="s">
        <v>298</v>
      </c>
      <c r="D150" s="68">
        <f>E150+L150+U150+V150</f>
        <v>-4.6566128730773926E-10</v>
      </c>
      <c r="E150" s="68">
        <f>SUM(F150:K150)</f>
        <v>-4.6566128730773926E-10</v>
      </c>
      <c r="F150" s="69">
        <f t="shared" ref="F150:K150" si="52">F149+F10-F53+F33</f>
        <v>-4.6566128730773926E-10</v>
      </c>
      <c r="G150" s="69">
        <f t="shared" si="52"/>
        <v>0</v>
      </c>
      <c r="H150" s="69">
        <f t="shared" si="52"/>
        <v>0</v>
      </c>
      <c r="I150" s="69">
        <f t="shared" si="52"/>
        <v>0</v>
      </c>
      <c r="J150" s="69">
        <f t="shared" si="52"/>
        <v>0</v>
      </c>
      <c r="K150" s="69">
        <f t="shared" si="52"/>
        <v>0</v>
      </c>
      <c r="L150" s="68">
        <f>SUM(M150:S150)</f>
        <v>0</v>
      </c>
      <c r="M150" s="69">
        <f t="shared" ref="M150:R150" si="53">M149+M10-M53+M33</f>
        <v>0</v>
      </c>
      <c r="N150" s="69">
        <f t="shared" si="53"/>
        <v>0</v>
      </c>
      <c r="O150" s="69">
        <f t="shared" si="53"/>
        <v>0</v>
      </c>
      <c r="P150" s="69">
        <f t="shared" si="53"/>
        <v>0</v>
      </c>
      <c r="Q150" s="69">
        <f t="shared" si="53"/>
        <v>0</v>
      </c>
      <c r="R150" s="69">
        <f t="shared" si="53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38" type="noConversion"/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98" activePane="bottomRight" state="frozen"/>
      <selection activeCell="A5" sqref="A5"/>
      <selection pane="topRight" activeCell="E5" sqref="E5"/>
      <selection pane="bottomLeft" activeCell="A10" sqref="A10"/>
      <selection pane="bottomRight" activeCell="F59" sqref="F59:V150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282" t="s">
        <v>410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283" t="s">
        <v>401</v>
      </c>
      <c r="B5" s="283" t="s">
        <v>402</v>
      </c>
      <c r="C5" s="283" t="s">
        <v>403</v>
      </c>
      <c r="D5" s="283" t="s">
        <v>404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30" ht="12" customHeight="1" x14ac:dyDescent="0.25">
      <c r="A6" s="283"/>
      <c r="B6" s="283"/>
      <c r="C6" s="283"/>
      <c r="D6" s="284" t="s">
        <v>405</v>
      </c>
      <c r="E6" s="283" t="s">
        <v>187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</row>
    <row r="7" spans="1:30" ht="31.5" customHeight="1" x14ac:dyDescent="0.25">
      <c r="A7" s="283"/>
      <c r="B7" s="283"/>
      <c r="C7" s="283"/>
      <c r="D7" s="285"/>
      <c r="E7" s="287" t="s">
        <v>406</v>
      </c>
      <c r="F7" s="288"/>
      <c r="G7" s="288"/>
      <c r="H7" s="288"/>
      <c r="I7" s="288"/>
      <c r="J7" s="288"/>
      <c r="K7" s="289"/>
      <c r="L7" s="287" t="s">
        <v>407</v>
      </c>
      <c r="M7" s="288"/>
      <c r="N7" s="288"/>
      <c r="O7" s="288"/>
      <c r="P7" s="288"/>
      <c r="Q7" s="288"/>
      <c r="R7" s="288"/>
      <c r="S7" s="288"/>
      <c r="T7" s="289"/>
      <c r="U7" s="284" t="s">
        <v>408</v>
      </c>
      <c r="V7" s="290" t="s">
        <v>409</v>
      </c>
      <c r="W7" s="290"/>
      <c r="X7" s="290"/>
      <c r="Y7" s="290"/>
      <c r="Z7" s="290"/>
      <c r="AA7" s="290"/>
      <c r="AB7" s="290"/>
    </row>
    <row r="8" spans="1:30" ht="145.5" customHeight="1" x14ac:dyDescent="0.25">
      <c r="A8" s="283"/>
      <c r="B8" s="283"/>
      <c r="C8" s="283"/>
      <c r="D8" s="286"/>
      <c r="E8" s="263" t="s">
        <v>603</v>
      </c>
      <c r="F8" s="73" t="s">
        <v>604</v>
      </c>
      <c r="G8" s="73" t="s">
        <v>671</v>
      </c>
      <c r="H8" s="73" t="s">
        <v>606</v>
      </c>
      <c r="I8" s="73" t="s">
        <v>605</v>
      </c>
      <c r="J8" s="73" t="s">
        <v>841</v>
      </c>
      <c r="K8" s="73" t="s">
        <v>842</v>
      </c>
      <c r="L8" s="263" t="s">
        <v>603</v>
      </c>
      <c r="M8" s="73" t="s">
        <v>615</v>
      </c>
      <c r="N8" s="73" t="s">
        <v>614</v>
      </c>
      <c r="O8" s="73" t="s">
        <v>616</v>
      </c>
      <c r="P8" s="73" t="s">
        <v>617</v>
      </c>
      <c r="Q8" s="73" t="s">
        <v>618</v>
      </c>
      <c r="R8" s="73" t="s">
        <v>667</v>
      </c>
      <c r="S8" s="73" t="s">
        <v>783</v>
      </c>
      <c r="T8" s="73" t="s">
        <v>788</v>
      </c>
      <c r="U8" s="286"/>
      <c r="V8" s="262" t="s">
        <v>405</v>
      </c>
      <c r="W8" s="262" t="s">
        <v>625</v>
      </c>
      <c r="X8" s="262" t="s">
        <v>626</v>
      </c>
      <c r="Y8" s="262" t="s">
        <v>627</v>
      </c>
      <c r="Z8" s="262" t="s">
        <v>648</v>
      </c>
      <c r="AA8" s="262" t="s">
        <v>628</v>
      </c>
      <c r="AB8" s="262" t="s">
        <v>95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556</v>
      </c>
      <c r="B10" s="67">
        <v>100</v>
      </c>
      <c r="C10" s="67" t="s">
        <v>270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271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272</v>
      </c>
      <c r="B12" s="67">
        <v>110</v>
      </c>
      <c r="C12" s="67">
        <v>120</v>
      </c>
      <c r="D12" s="68">
        <f>V12</f>
        <v>0</v>
      </c>
      <c r="E12" s="68" t="s">
        <v>270</v>
      </c>
      <c r="F12" s="69" t="s">
        <v>270</v>
      </c>
      <c r="G12" s="69" t="s">
        <v>270</v>
      </c>
      <c r="H12" s="69" t="s">
        <v>270</v>
      </c>
      <c r="I12" s="69" t="s">
        <v>270</v>
      </c>
      <c r="J12" s="69" t="s">
        <v>270</v>
      </c>
      <c r="K12" s="69" t="s">
        <v>270</v>
      </c>
      <c r="L12" s="68" t="s">
        <v>270</v>
      </c>
      <c r="M12" s="69" t="s">
        <v>270</v>
      </c>
      <c r="N12" s="69" t="s">
        <v>270</v>
      </c>
      <c r="O12" s="69" t="s">
        <v>270</v>
      </c>
      <c r="P12" s="69" t="s">
        <v>270</v>
      </c>
      <c r="Q12" s="69" t="s">
        <v>270</v>
      </c>
      <c r="R12" s="69" t="s">
        <v>270</v>
      </c>
      <c r="S12" s="69" t="s">
        <v>270</v>
      </c>
      <c r="T12" s="69" t="s">
        <v>270</v>
      </c>
      <c r="U12" s="69" t="s">
        <v>270</v>
      </c>
      <c r="V12" s="68">
        <f>SUM(W12:AB12)</f>
        <v>0</v>
      </c>
      <c r="W12" s="69"/>
      <c r="X12" s="69"/>
      <c r="Y12" s="69"/>
      <c r="Z12" s="69"/>
      <c r="AA12" s="69"/>
      <c r="AB12" s="69" t="s">
        <v>270</v>
      </c>
      <c r="AD12" s="86">
        <f>AD10-AD11</f>
        <v>0</v>
      </c>
    </row>
    <row r="13" spans="1:30" hidden="1" x14ac:dyDescent="0.25">
      <c r="A13" s="67" t="s">
        <v>273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274</v>
      </c>
      <c r="B14" s="76">
        <v>111</v>
      </c>
      <c r="C14" s="76">
        <v>120</v>
      </c>
      <c r="D14" s="68">
        <f>V14</f>
        <v>0</v>
      </c>
      <c r="E14" s="77" t="s">
        <v>270</v>
      </c>
      <c r="F14" s="78" t="s">
        <v>270</v>
      </c>
      <c r="G14" s="78" t="s">
        <v>270</v>
      </c>
      <c r="H14" s="78" t="s">
        <v>270</v>
      </c>
      <c r="I14" s="78" t="s">
        <v>270</v>
      </c>
      <c r="J14" s="78" t="s">
        <v>270</v>
      </c>
      <c r="K14" s="78" t="s">
        <v>270</v>
      </c>
      <c r="L14" s="77" t="s">
        <v>270</v>
      </c>
      <c r="M14" s="78" t="s">
        <v>270</v>
      </c>
      <c r="N14" s="78" t="s">
        <v>270</v>
      </c>
      <c r="O14" s="78" t="s">
        <v>270</v>
      </c>
      <c r="P14" s="78" t="s">
        <v>270</v>
      </c>
      <c r="Q14" s="78" t="s">
        <v>270</v>
      </c>
      <c r="R14" s="78" t="s">
        <v>270</v>
      </c>
      <c r="S14" s="78" t="s">
        <v>270</v>
      </c>
      <c r="T14" s="78" t="s">
        <v>270</v>
      </c>
      <c r="U14" s="78" t="s">
        <v>270</v>
      </c>
      <c r="V14" s="68">
        <f>SUM(W14:AB14)</f>
        <v>0</v>
      </c>
      <c r="W14" s="78"/>
      <c r="X14" s="78"/>
      <c r="Y14" s="78"/>
      <c r="Z14" s="78"/>
      <c r="AA14" s="78"/>
      <c r="AB14" s="78" t="s">
        <v>270</v>
      </c>
    </row>
    <row r="15" spans="1:30" hidden="1" x14ac:dyDescent="0.25">
      <c r="A15" s="67" t="s">
        <v>275</v>
      </c>
      <c r="B15" s="67">
        <v>112</v>
      </c>
      <c r="C15" s="67">
        <v>120</v>
      </c>
      <c r="D15" s="68">
        <f>V15</f>
        <v>0</v>
      </c>
      <c r="E15" s="68" t="s">
        <v>270</v>
      </c>
      <c r="F15" s="69" t="s">
        <v>270</v>
      </c>
      <c r="G15" s="69" t="s">
        <v>270</v>
      </c>
      <c r="H15" s="69" t="s">
        <v>270</v>
      </c>
      <c r="I15" s="69" t="s">
        <v>270</v>
      </c>
      <c r="J15" s="69" t="s">
        <v>270</v>
      </c>
      <c r="K15" s="69" t="s">
        <v>270</v>
      </c>
      <c r="L15" s="68" t="s">
        <v>270</v>
      </c>
      <c r="M15" s="69" t="s">
        <v>270</v>
      </c>
      <c r="N15" s="69" t="s">
        <v>270</v>
      </c>
      <c r="O15" s="69" t="s">
        <v>270</v>
      </c>
      <c r="P15" s="69" t="s">
        <v>270</v>
      </c>
      <c r="Q15" s="69" t="s">
        <v>270</v>
      </c>
      <c r="R15" s="69" t="s">
        <v>270</v>
      </c>
      <c r="S15" s="69" t="s">
        <v>270</v>
      </c>
      <c r="T15" s="69" t="s">
        <v>270</v>
      </c>
      <c r="U15" s="69" t="s">
        <v>270</v>
      </c>
      <c r="V15" s="68">
        <f>SUM(W15:AB15)</f>
        <v>0</v>
      </c>
      <c r="W15" s="69"/>
      <c r="X15" s="69"/>
      <c r="Y15" s="69"/>
      <c r="Z15" s="69"/>
      <c r="AA15" s="69"/>
      <c r="AB15" s="69" t="s">
        <v>270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276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270</v>
      </c>
      <c r="M17" s="69" t="s">
        <v>270</v>
      </c>
      <c r="N17" s="69" t="s">
        <v>270</v>
      </c>
      <c r="O17" s="69" t="s">
        <v>270</v>
      </c>
      <c r="P17" s="69" t="s">
        <v>270</v>
      </c>
      <c r="Q17" s="69" t="s">
        <v>270</v>
      </c>
      <c r="R17" s="69" t="s">
        <v>270</v>
      </c>
      <c r="S17" s="69" t="s">
        <v>270</v>
      </c>
      <c r="T17" s="69" t="s">
        <v>270</v>
      </c>
      <c r="U17" s="69" t="s">
        <v>270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115"/>
    </row>
    <row r="18" spans="1:30" ht="11.25" customHeight="1" x14ac:dyDescent="0.25">
      <c r="A18" s="67" t="s">
        <v>273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277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270</v>
      </c>
      <c r="M19" s="69" t="s">
        <v>270</v>
      </c>
      <c r="N19" s="69" t="s">
        <v>270</v>
      </c>
      <c r="O19" s="69" t="s">
        <v>270</v>
      </c>
      <c r="P19" s="69" t="s">
        <v>270</v>
      </c>
      <c r="Q19" s="69" t="s">
        <v>270</v>
      </c>
      <c r="R19" s="69" t="s">
        <v>270</v>
      </c>
      <c r="S19" s="69" t="s">
        <v>270</v>
      </c>
      <c r="T19" s="69" t="s">
        <v>270</v>
      </c>
      <c r="U19" s="69" t="s">
        <v>270</v>
      </c>
      <c r="V19" s="68"/>
      <c r="W19" s="69"/>
      <c r="X19" s="69"/>
      <c r="Y19" s="69"/>
      <c r="Z19" s="69"/>
      <c r="AA19" s="69"/>
      <c r="AB19" s="69" t="s">
        <v>270</v>
      </c>
    </row>
    <row r="20" spans="1:30" hidden="1" x14ac:dyDescent="0.25">
      <c r="A20" s="67" t="s">
        <v>278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270</v>
      </c>
      <c r="M20" s="69" t="s">
        <v>270</v>
      </c>
      <c r="N20" s="69" t="s">
        <v>270</v>
      </c>
      <c r="O20" s="69" t="s">
        <v>270</v>
      </c>
      <c r="P20" s="69" t="s">
        <v>270</v>
      </c>
      <c r="Q20" s="69" t="s">
        <v>270</v>
      </c>
      <c r="R20" s="69" t="s">
        <v>270</v>
      </c>
      <c r="S20" s="69" t="s">
        <v>270</v>
      </c>
      <c r="T20" s="69" t="s">
        <v>270</v>
      </c>
      <c r="U20" s="69" t="s">
        <v>270</v>
      </c>
      <c r="V20" s="68">
        <f>SUM(W20:AB20)</f>
        <v>0</v>
      </c>
      <c r="W20" s="69"/>
      <c r="X20" s="69"/>
      <c r="Y20" s="69"/>
      <c r="Z20" s="69"/>
      <c r="AA20" s="69"/>
      <c r="AB20" s="69" t="s">
        <v>270</v>
      </c>
    </row>
    <row r="21" spans="1:30" hidden="1" x14ac:dyDescent="0.25">
      <c r="A21" s="67" t="s">
        <v>279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280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281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282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283</v>
      </c>
      <c r="B26" s="67">
        <v>130</v>
      </c>
      <c r="C26" s="67">
        <v>140</v>
      </c>
      <c r="D26" s="68">
        <f>V26</f>
        <v>0</v>
      </c>
      <c r="E26" s="68" t="s">
        <v>270</v>
      </c>
      <c r="F26" s="69" t="s">
        <v>270</v>
      </c>
      <c r="G26" s="69" t="s">
        <v>270</v>
      </c>
      <c r="H26" s="69" t="s">
        <v>270</v>
      </c>
      <c r="I26" s="69" t="s">
        <v>270</v>
      </c>
      <c r="J26" s="69" t="s">
        <v>270</v>
      </c>
      <c r="K26" s="69" t="s">
        <v>270</v>
      </c>
      <c r="L26" s="68" t="s">
        <v>270</v>
      </c>
      <c r="M26" s="69" t="s">
        <v>270</v>
      </c>
      <c r="N26" s="69" t="s">
        <v>270</v>
      </c>
      <c r="O26" s="69" t="s">
        <v>270</v>
      </c>
      <c r="P26" s="69" t="s">
        <v>270</v>
      </c>
      <c r="Q26" s="69" t="s">
        <v>270</v>
      </c>
      <c r="R26" s="69" t="s">
        <v>270</v>
      </c>
      <c r="S26" s="69" t="s">
        <v>270</v>
      </c>
      <c r="T26" s="69" t="s">
        <v>270</v>
      </c>
      <c r="U26" s="69" t="s">
        <v>270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284</v>
      </c>
      <c r="B28" s="67">
        <v>140</v>
      </c>
      <c r="C28" s="67">
        <v>150</v>
      </c>
      <c r="D28" s="68">
        <f>V28</f>
        <v>0</v>
      </c>
      <c r="E28" s="68" t="s">
        <v>270</v>
      </c>
      <c r="F28" s="69" t="s">
        <v>270</v>
      </c>
      <c r="G28" s="69" t="s">
        <v>270</v>
      </c>
      <c r="H28" s="69" t="s">
        <v>270</v>
      </c>
      <c r="I28" s="69" t="s">
        <v>270</v>
      </c>
      <c r="J28" s="69" t="s">
        <v>270</v>
      </c>
      <c r="K28" s="69" t="s">
        <v>270</v>
      </c>
      <c r="L28" s="68" t="s">
        <v>270</v>
      </c>
      <c r="M28" s="69" t="s">
        <v>270</v>
      </c>
      <c r="N28" s="69" t="s">
        <v>270</v>
      </c>
      <c r="O28" s="69" t="s">
        <v>270</v>
      </c>
      <c r="P28" s="69" t="s">
        <v>270</v>
      </c>
      <c r="Q28" s="69" t="s">
        <v>270</v>
      </c>
      <c r="R28" s="69" t="s">
        <v>270</v>
      </c>
      <c r="S28" s="69" t="s">
        <v>270</v>
      </c>
      <c r="T28" s="69"/>
      <c r="U28" s="69" t="s">
        <v>270</v>
      </c>
      <c r="V28" s="68">
        <f>SUM(W28:AB28)</f>
        <v>0</v>
      </c>
      <c r="W28" s="69"/>
      <c r="X28" s="69"/>
      <c r="Y28" s="69"/>
      <c r="Z28" s="69"/>
      <c r="AA28" s="69"/>
      <c r="AB28" s="69" t="s">
        <v>270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115"/>
    </row>
    <row r="30" spans="1:30" ht="13.5" customHeight="1" x14ac:dyDescent="0.25">
      <c r="A30" s="67" t="s">
        <v>285</v>
      </c>
      <c r="B30" s="67">
        <v>150</v>
      </c>
      <c r="C30" s="67">
        <v>180</v>
      </c>
      <c r="D30" s="68">
        <f>L30+U30</f>
        <v>8741200</v>
      </c>
      <c r="E30" s="68" t="s">
        <v>270</v>
      </c>
      <c r="F30" s="69" t="s">
        <v>270</v>
      </c>
      <c r="G30" s="69" t="s">
        <v>270</v>
      </c>
      <c r="H30" s="69" t="s">
        <v>270</v>
      </c>
      <c r="I30" s="69" t="s">
        <v>270</v>
      </c>
      <c r="J30" s="69" t="s">
        <v>270</v>
      </c>
      <c r="K30" s="69" t="s">
        <v>270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270</v>
      </c>
      <c r="W30" s="69" t="s">
        <v>270</v>
      </c>
      <c r="X30" s="69" t="s">
        <v>270</v>
      </c>
      <c r="Y30" s="69" t="s">
        <v>270</v>
      </c>
      <c r="Z30" s="69" t="s">
        <v>270</v>
      </c>
      <c r="AA30" s="69" t="s">
        <v>270</v>
      </c>
      <c r="AB30" s="69" t="s">
        <v>270</v>
      </c>
      <c r="AD30" s="90"/>
    </row>
    <row r="31" spans="1:30" x14ac:dyDescent="0.25">
      <c r="A31" s="67" t="s">
        <v>187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285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680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286</v>
      </c>
      <c r="B34" s="67">
        <v>160</v>
      </c>
      <c r="C34" s="67"/>
      <c r="D34" s="68">
        <f>V34</f>
        <v>0</v>
      </c>
      <c r="E34" s="68" t="s">
        <v>270</v>
      </c>
      <c r="F34" s="69" t="s">
        <v>270</v>
      </c>
      <c r="G34" s="69" t="s">
        <v>270</v>
      </c>
      <c r="H34" s="69" t="s">
        <v>270</v>
      </c>
      <c r="I34" s="69" t="s">
        <v>270</v>
      </c>
      <c r="J34" s="69" t="s">
        <v>270</v>
      </c>
      <c r="K34" s="69" t="s">
        <v>270</v>
      </c>
      <c r="L34" s="68" t="s">
        <v>270</v>
      </c>
      <c r="M34" s="69" t="s">
        <v>270</v>
      </c>
      <c r="N34" s="69" t="s">
        <v>270</v>
      </c>
      <c r="O34" s="69" t="s">
        <v>270</v>
      </c>
      <c r="P34" s="69" t="s">
        <v>270</v>
      </c>
      <c r="Q34" s="69" t="s">
        <v>270</v>
      </c>
      <c r="R34" s="69" t="s">
        <v>270</v>
      </c>
      <c r="S34" s="69" t="s">
        <v>270</v>
      </c>
      <c r="T34" s="69" t="s">
        <v>270</v>
      </c>
      <c r="U34" s="69" t="s">
        <v>270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187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610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611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287</v>
      </c>
      <c r="B38" s="67" t="s">
        <v>288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289</v>
      </c>
      <c r="B41" s="67">
        <v>180</v>
      </c>
      <c r="C41" s="67" t="s">
        <v>270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187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290</v>
      </c>
      <c r="B43" s="67">
        <v>181</v>
      </c>
      <c r="C43" s="67">
        <v>400</v>
      </c>
      <c r="D43" s="68">
        <f>V43</f>
        <v>0</v>
      </c>
      <c r="E43" s="68" t="s">
        <v>270</v>
      </c>
      <c r="F43" s="69" t="s">
        <v>270</v>
      </c>
      <c r="G43" s="69" t="s">
        <v>270</v>
      </c>
      <c r="H43" s="69" t="s">
        <v>270</v>
      </c>
      <c r="I43" s="69" t="s">
        <v>270</v>
      </c>
      <c r="J43" s="69" t="s">
        <v>270</v>
      </c>
      <c r="K43" s="69" t="s">
        <v>270</v>
      </c>
      <c r="L43" s="68" t="s">
        <v>270</v>
      </c>
      <c r="M43" s="69" t="s">
        <v>270</v>
      </c>
      <c r="N43" s="69" t="s">
        <v>270</v>
      </c>
      <c r="O43" s="69" t="s">
        <v>270</v>
      </c>
      <c r="P43" s="69" t="s">
        <v>270</v>
      </c>
      <c r="Q43" s="69" t="s">
        <v>270</v>
      </c>
      <c r="R43" s="69" t="s">
        <v>270</v>
      </c>
      <c r="S43" s="69" t="s">
        <v>270</v>
      </c>
      <c r="T43" s="69"/>
      <c r="U43" s="69" t="s">
        <v>270</v>
      </c>
      <c r="V43" s="68">
        <f>SUM(W43:AB43)</f>
        <v>0</v>
      </c>
      <c r="W43" s="69"/>
      <c r="X43" s="69"/>
      <c r="Y43" s="69"/>
      <c r="Z43" s="69"/>
      <c r="AA43" s="69"/>
      <c r="AB43" s="69" t="s">
        <v>270</v>
      </c>
    </row>
    <row r="44" spans="1:28" hidden="1" x14ac:dyDescent="0.25">
      <c r="A44" s="67" t="s">
        <v>185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291</v>
      </c>
      <c r="B45" s="67">
        <v>181.1</v>
      </c>
      <c r="C45" s="67">
        <v>410</v>
      </c>
      <c r="D45" s="68">
        <f>V45</f>
        <v>0</v>
      </c>
      <c r="E45" s="68" t="s">
        <v>270</v>
      </c>
      <c r="F45" s="69" t="s">
        <v>270</v>
      </c>
      <c r="G45" s="69" t="s">
        <v>270</v>
      </c>
      <c r="H45" s="69" t="s">
        <v>270</v>
      </c>
      <c r="I45" s="69" t="s">
        <v>270</v>
      </c>
      <c r="J45" s="69" t="s">
        <v>270</v>
      </c>
      <c r="K45" s="69" t="s">
        <v>270</v>
      </c>
      <c r="L45" s="68" t="s">
        <v>270</v>
      </c>
      <c r="M45" s="69" t="s">
        <v>270</v>
      </c>
      <c r="N45" s="69" t="s">
        <v>270</v>
      </c>
      <c r="O45" s="69" t="s">
        <v>270</v>
      </c>
      <c r="P45" s="69" t="s">
        <v>270</v>
      </c>
      <c r="Q45" s="69" t="s">
        <v>270</v>
      </c>
      <c r="R45" s="69" t="s">
        <v>270</v>
      </c>
      <c r="S45" s="69" t="s">
        <v>270</v>
      </c>
      <c r="T45" s="69"/>
      <c r="U45" s="69" t="s">
        <v>270</v>
      </c>
      <c r="V45" s="68">
        <f>SUM(W45:AB45)</f>
        <v>0</v>
      </c>
      <c r="W45" s="69"/>
      <c r="X45" s="69"/>
      <c r="Y45" s="69"/>
      <c r="Z45" s="69"/>
      <c r="AA45" s="69"/>
      <c r="AB45" s="69" t="s">
        <v>270</v>
      </c>
    </row>
    <row r="46" spans="1:28" hidden="1" x14ac:dyDescent="0.25">
      <c r="A46" s="67" t="s">
        <v>292</v>
      </c>
      <c r="B46" s="67">
        <v>181.2</v>
      </c>
      <c r="C46" s="67">
        <v>420</v>
      </c>
      <c r="D46" s="68">
        <f>V46</f>
        <v>0</v>
      </c>
      <c r="E46" s="68" t="s">
        <v>270</v>
      </c>
      <c r="F46" s="69" t="s">
        <v>270</v>
      </c>
      <c r="G46" s="69" t="s">
        <v>270</v>
      </c>
      <c r="H46" s="69" t="s">
        <v>270</v>
      </c>
      <c r="I46" s="69" t="s">
        <v>270</v>
      </c>
      <c r="J46" s="69" t="s">
        <v>270</v>
      </c>
      <c r="K46" s="69" t="s">
        <v>270</v>
      </c>
      <c r="L46" s="68" t="s">
        <v>270</v>
      </c>
      <c r="M46" s="69" t="s">
        <v>270</v>
      </c>
      <c r="N46" s="69" t="s">
        <v>270</v>
      </c>
      <c r="O46" s="69" t="s">
        <v>270</v>
      </c>
      <c r="P46" s="69" t="s">
        <v>270</v>
      </c>
      <c r="Q46" s="69" t="s">
        <v>270</v>
      </c>
      <c r="R46" s="69" t="s">
        <v>270</v>
      </c>
      <c r="S46" s="69" t="s">
        <v>270</v>
      </c>
      <c r="T46" s="69"/>
      <c r="U46" s="69" t="s">
        <v>270</v>
      </c>
      <c r="V46" s="68">
        <f>SUM(W46:AB46)</f>
        <v>0</v>
      </c>
      <c r="W46" s="69"/>
      <c r="X46" s="69"/>
      <c r="Y46" s="69"/>
      <c r="Z46" s="69"/>
      <c r="AA46" s="69"/>
      <c r="AB46" s="69" t="s">
        <v>270</v>
      </c>
    </row>
    <row r="47" spans="1:28" hidden="1" x14ac:dyDescent="0.25">
      <c r="A47" s="67" t="s">
        <v>293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294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295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185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296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666</v>
      </c>
    </row>
    <row r="53" spans="1:29" x14ac:dyDescent="0.25">
      <c r="A53" s="67" t="s">
        <v>297</v>
      </c>
      <c r="B53" s="67">
        <v>200</v>
      </c>
      <c r="C53" s="67" t="s">
        <v>298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299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631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185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300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185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301</v>
      </c>
      <c r="B59" s="67">
        <v>211.1</v>
      </c>
      <c r="C59" s="67" t="s">
        <v>574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834</v>
      </c>
      <c r="B60" s="67"/>
      <c r="C60" s="67" t="s">
        <v>835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612</v>
      </c>
      <c r="B61" s="67">
        <v>211.2</v>
      </c>
      <c r="C61" s="67" t="s">
        <v>836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302</v>
      </c>
      <c r="B62" s="67">
        <v>211.3</v>
      </c>
      <c r="C62" s="67" t="s">
        <v>303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304</v>
      </c>
      <c r="B63" s="67">
        <v>211.4</v>
      </c>
      <c r="C63" s="67" t="s">
        <v>305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306</v>
      </c>
      <c r="B64" s="67">
        <v>211.5</v>
      </c>
      <c r="C64" s="67" t="s">
        <v>576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307</v>
      </c>
      <c r="B65" s="67">
        <v>211.6</v>
      </c>
      <c r="C65" s="67" t="s">
        <v>308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309</v>
      </c>
      <c r="B66" s="67">
        <v>211.7</v>
      </c>
      <c r="C66" s="67" t="s">
        <v>577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838</v>
      </c>
      <c r="B67" s="67"/>
      <c r="C67" s="67" t="s">
        <v>837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310</v>
      </c>
      <c r="B68" s="67">
        <v>211.8</v>
      </c>
      <c r="C68" s="67" t="s">
        <v>578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840</v>
      </c>
      <c r="B69" s="67"/>
      <c r="C69" s="67" t="s">
        <v>839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311</v>
      </c>
      <c r="B70" s="67">
        <v>211.9</v>
      </c>
      <c r="C70" s="67" t="s">
        <v>312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313</v>
      </c>
      <c r="B71" s="67">
        <v>211.1</v>
      </c>
      <c r="C71" s="67" t="s">
        <v>843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315</v>
      </c>
      <c r="B72" s="67">
        <v>211.11</v>
      </c>
      <c r="C72" s="67" t="s">
        <v>579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316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187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317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185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318</v>
      </c>
      <c r="B77" s="67">
        <v>221.1</v>
      </c>
      <c r="C77" s="67" t="s">
        <v>319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613</v>
      </c>
      <c r="B78" s="67">
        <v>221.2</v>
      </c>
      <c r="C78" s="67" t="s">
        <v>320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321</v>
      </c>
      <c r="B79" s="67">
        <v>221.3</v>
      </c>
      <c r="C79" s="67" t="s">
        <v>846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323</v>
      </c>
      <c r="B80" s="67">
        <v>222</v>
      </c>
      <c r="C80" s="67" t="s">
        <v>324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325</v>
      </c>
      <c r="B81" s="67">
        <v>223</v>
      </c>
      <c r="C81" s="67" t="s">
        <v>326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327</v>
      </c>
      <c r="B82" s="67">
        <v>224</v>
      </c>
      <c r="C82" s="67" t="s">
        <v>328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329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187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330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185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331</v>
      </c>
      <c r="B87" s="67">
        <v>231.1</v>
      </c>
      <c r="C87" s="67" t="s">
        <v>332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333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185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334</v>
      </c>
      <c r="B90" s="67">
        <v>232.1</v>
      </c>
      <c r="C90" s="67" t="s">
        <v>780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336</v>
      </c>
      <c r="B91" s="67">
        <v>232.2</v>
      </c>
      <c r="C91" s="67" t="s">
        <v>337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338</v>
      </c>
      <c r="B92" s="67">
        <v>232.3</v>
      </c>
      <c r="C92" s="67" t="s">
        <v>339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340</v>
      </c>
      <c r="B93" s="67">
        <v>232.4</v>
      </c>
      <c r="C93" s="67" t="s">
        <v>341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342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343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344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187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345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185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346</v>
      </c>
      <c r="B103" s="67">
        <v>261.10000000000002</v>
      </c>
      <c r="C103" s="67" t="s">
        <v>347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348</v>
      </c>
      <c r="B104" s="67">
        <v>261.2</v>
      </c>
      <c r="C104" s="67" t="s">
        <v>349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350</v>
      </c>
      <c r="B105" s="67">
        <v>261.3</v>
      </c>
      <c r="C105" s="67" t="s">
        <v>351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352</v>
      </c>
      <c r="B106" s="67">
        <v>261.39999999999998</v>
      </c>
      <c r="C106" s="67" t="s">
        <v>353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354</v>
      </c>
      <c r="B107" s="67">
        <v>261.5</v>
      </c>
      <c r="C107" s="67" t="s">
        <v>580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355</v>
      </c>
      <c r="B108" s="67">
        <v>261.60000000000002</v>
      </c>
      <c r="C108" s="67" t="s">
        <v>639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310</v>
      </c>
      <c r="B109" s="67">
        <v>261.7</v>
      </c>
      <c r="C109" s="67" t="s">
        <v>581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356</v>
      </c>
      <c r="B110" s="67">
        <v>261.8</v>
      </c>
      <c r="C110" s="67" t="s">
        <v>582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357</v>
      </c>
      <c r="B111" s="67">
        <v>261.89999999999998</v>
      </c>
      <c r="C111" s="67" t="s">
        <v>583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358</v>
      </c>
      <c r="B112" s="67">
        <v>261.10000000000002</v>
      </c>
      <c r="C112" s="67" t="s">
        <v>584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359</v>
      </c>
      <c r="B113" s="67">
        <v>261.11</v>
      </c>
      <c r="C113" s="67" t="s">
        <v>585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360</v>
      </c>
      <c r="B114" s="67">
        <v>261.12</v>
      </c>
      <c r="C114" s="67" t="s">
        <v>586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361</v>
      </c>
      <c r="B115" s="67">
        <v>261.13</v>
      </c>
      <c r="C115" s="67" t="s">
        <v>587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362</v>
      </c>
      <c r="B116" s="67">
        <v>261.14</v>
      </c>
      <c r="C116" s="67" t="s">
        <v>588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363</v>
      </c>
      <c r="B117" s="67">
        <v>261.14999999999998</v>
      </c>
      <c r="C117" s="67" t="s">
        <v>589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364</v>
      </c>
      <c r="B118" s="67">
        <v>261.16000000000003</v>
      </c>
      <c r="C118" s="67" t="s">
        <v>365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366</v>
      </c>
      <c r="B119" s="67">
        <v>261.17</v>
      </c>
      <c r="C119" s="67" t="s">
        <v>590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845</v>
      </c>
      <c r="B120" s="67"/>
      <c r="C120" s="67" t="s">
        <v>844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367</v>
      </c>
      <c r="B121" s="67">
        <v>261.18</v>
      </c>
      <c r="C121" s="67" t="s">
        <v>591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368</v>
      </c>
      <c r="B122" s="67">
        <v>261.19</v>
      </c>
      <c r="C122" s="67" t="s">
        <v>592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369</v>
      </c>
      <c r="B123" s="67">
        <v>261.2</v>
      </c>
      <c r="C123" s="67" t="s">
        <v>593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370</v>
      </c>
      <c r="B124" s="67">
        <v>261.20999999999998</v>
      </c>
      <c r="C124" s="67" t="s">
        <v>371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372</v>
      </c>
      <c r="B125" s="67">
        <v>261.22000000000003</v>
      </c>
      <c r="C125" s="67" t="s">
        <v>594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373</v>
      </c>
      <c r="B126" s="67">
        <v>261.23</v>
      </c>
      <c r="C126" s="67" t="s">
        <v>595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374</v>
      </c>
      <c r="B127" s="67">
        <v>261.24</v>
      </c>
      <c r="C127" s="67" t="s">
        <v>375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376</v>
      </c>
      <c r="B128" s="67">
        <v>261.25</v>
      </c>
      <c r="C128" s="67" t="s">
        <v>596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377</v>
      </c>
      <c r="B129" s="67">
        <v>261.26</v>
      </c>
      <c r="C129" s="67" t="s">
        <v>597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378</v>
      </c>
      <c r="B130" s="67">
        <v>261.27</v>
      </c>
      <c r="C130" s="67" t="s">
        <v>379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380</v>
      </c>
      <c r="B131" s="67">
        <v>261.27999999999997</v>
      </c>
      <c r="C131" s="67" t="s">
        <v>809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381</v>
      </c>
      <c r="B132" s="67">
        <v>261.29000000000002</v>
      </c>
      <c r="C132" s="67" t="s">
        <v>382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383</v>
      </c>
      <c r="B133" s="67">
        <v>261.3</v>
      </c>
      <c r="C133" s="67" t="s">
        <v>599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384</v>
      </c>
      <c r="B134" s="67">
        <v>261.31</v>
      </c>
      <c r="C134" s="67" t="s">
        <v>385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386</v>
      </c>
      <c r="B135" s="67">
        <v>261.32</v>
      </c>
      <c r="C135" s="67" t="s">
        <v>600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387</v>
      </c>
      <c r="B136" s="67">
        <v>261.33</v>
      </c>
      <c r="C136" s="67" t="s">
        <v>601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388</v>
      </c>
      <c r="B137" s="67">
        <v>261.33999999999997</v>
      </c>
      <c r="C137" s="67" t="s">
        <v>389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390</v>
      </c>
      <c r="B138" s="67">
        <v>261.35000000000002</v>
      </c>
      <c r="C138" s="67" t="s">
        <v>391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392</v>
      </c>
      <c r="B139" s="67">
        <v>261.36</v>
      </c>
      <c r="C139" s="67" t="s">
        <v>602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393</v>
      </c>
      <c r="B141" s="67">
        <v>300</v>
      </c>
      <c r="C141" s="67" t="s">
        <v>270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185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394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395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396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185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397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398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399</v>
      </c>
      <c r="B149" s="67">
        <v>500</v>
      </c>
      <c r="C149" s="67" t="s">
        <v>298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400</v>
      </c>
      <c r="B150" s="67">
        <v>600</v>
      </c>
      <c r="C150" s="67" t="s">
        <v>298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83" zoomScaleNormal="100" workbookViewId="0">
      <selection activeCell="H26" sqref="H26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282" t="s">
        <v>410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282" t="s">
        <v>847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283" t="s">
        <v>401</v>
      </c>
      <c r="B5" s="283" t="s">
        <v>402</v>
      </c>
      <c r="C5" s="283" t="s">
        <v>403</v>
      </c>
      <c r="D5" s="283" t="s">
        <v>404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30" ht="12" customHeight="1" x14ac:dyDescent="0.25">
      <c r="A6" s="283"/>
      <c r="B6" s="283"/>
      <c r="C6" s="283"/>
      <c r="D6" s="284" t="s">
        <v>405</v>
      </c>
      <c r="E6" s="283" t="s">
        <v>187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</row>
    <row r="7" spans="1:30" ht="31.5" customHeight="1" x14ac:dyDescent="0.25">
      <c r="A7" s="283"/>
      <c r="B7" s="283"/>
      <c r="C7" s="283"/>
      <c r="D7" s="285"/>
      <c r="E7" s="287" t="s">
        <v>406</v>
      </c>
      <c r="F7" s="288"/>
      <c r="G7" s="288"/>
      <c r="H7" s="288"/>
      <c r="I7" s="288"/>
      <c r="J7" s="288"/>
      <c r="K7" s="289"/>
      <c r="L7" s="287" t="s">
        <v>407</v>
      </c>
      <c r="M7" s="288"/>
      <c r="N7" s="288"/>
      <c r="O7" s="288"/>
      <c r="P7" s="288"/>
      <c r="Q7" s="288"/>
      <c r="R7" s="288"/>
      <c r="S7" s="288"/>
      <c r="T7" s="289"/>
      <c r="U7" s="284" t="s">
        <v>408</v>
      </c>
      <c r="V7" s="290" t="s">
        <v>409</v>
      </c>
      <c r="W7" s="290"/>
      <c r="X7" s="290"/>
      <c r="Y7" s="290"/>
      <c r="Z7" s="290"/>
      <c r="AA7" s="290"/>
      <c r="AB7" s="290"/>
    </row>
    <row r="8" spans="1:30" ht="145.5" customHeight="1" x14ac:dyDescent="0.25">
      <c r="A8" s="283"/>
      <c r="B8" s="283"/>
      <c r="C8" s="283"/>
      <c r="D8" s="286"/>
      <c r="E8" s="263" t="s">
        <v>603</v>
      </c>
      <c r="F8" s="73" t="s">
        <v>604</v>
      </c>
      <c r="G8" s="73" t="s">
        <v>671</v>
      </c>
      <c r="H8" s="73" t="s">
        <v>606</v>
      </c>
      <c r="I8" s="73" t="s">
        <v>605</v>
      </c>
      <c r="J8" s="73" t="s">
        <v>841</v>
      </c>
      <c r="K8" s="73" t="s">
        <v>842</v>
      </c>
      <c r="L8" s="263" t="s">
        <v>603</v>
      </c>
      <c r="M8" s="73" t="s">
        <v>615</v>
      </c>
      <c r="N8" s="73" t="s">
        <v>614</v>
      </c>
      <c r="O8" s="73" t="s">
        <v>616</v>
      </c>
      <c r="P8" s="73" t="s">
        <v>617</v>
      </c>
      <c r="Q8" s="73" t="s">
        <v>618</v>
      </c>
      <c r="R8" s="73" t="s">
        <v>667</v>
      </c>
      <c r="S8" s="73" t="s">
        <v>783</v>
      </c>
      <c r="T8" s="73" t="s">
        <v>788</v>
      </c>
      <c r="U8" s="286"/>
      <c r="V8" s="262" t="s">
        <v>405</v>
      </c>
      <c r="W8" s="262" t="s">
        <v>625</v>
      </c>
      <c r="X8" s="262" t="s">
        <v>626</v>
      </c>
      <c r="Y8" s="262" t="s">
        <v>627</v>
      </c>
      <c r="Z8" s="262" t="s">
        <v>648</v>
      </c>
      <c r="AA8" s="262" t="s">
        <v>628</v>
      </c>
      <c r="AB8" s="262" t="s">
        <v>95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556</v>
      </c>
      <c r="B10" s="67">
        <v>100</v>
      </c>
      <c r="C10" s="67" t="s">
        <v>270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271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272</v>
      </c>
      <c r="B12" s="67">
        <v>110</v>
      </c>
      <c r="C12" s="67">
        <v>120</v>
      </c>
      <c r="D12" s="68">
        <f>V12</f>
        <v>0</v>
      </c>
      <c r="E12" s="68" t="s">
        <v>270</v>
      </c>
      <c r="F12" s="69" t="s">
        <v>270</v>
      </c>
      <c r="G12" s="69" t="s">
        <v>270</v>
      </c>
      <c r="H12" s="69" t="s">
        <v>270</v>
      </c>
      <c r="I12" s="69" t="s">
        <v>270</v>
      </c>
      <c r="J12" s="69" t="s">
        <v>270</v>
      </c>
      <c r="K12" s="69" t="s">
        <v>270</v>
      </c>
      <c r="L12" s="68" t="s">
        <v>270</v>
      </c>
      <c r="M12" s="69" t="s">
        <v>270</v>
      </c>
      <c r="N12" s="69" t="s">
        <v>270</v>
      </c>
      <c r="O12" s="69" t="s">
        <v>270</v>
      </c>
      <c r="P12" s="69" t="s">
        <v>270</v>
      </c>
      <c r="Q12" s="69" t="s">
        <v>270</v>
      </c>
      <c r="R12" s="69" t="s">
        <v>270</v>
      </c>
      <c r="S12" s="69" t="s">
        <v>270</v>
      </c>
      <c r="T12" s="69" t="s">
        <v>270</v>
      </c>
      <c r="U12" s="69" t="s">
        <v>270</v>
      </c>
      <c r="V12" s="68">
        <f>SUM(W12:AB12)</f>
        <v>0</v>
      </c>
      <c r="W12" s="69"/>
      <c r="X12" s="69"/>
      <c r="Y12" s="69"/>
      <c r="Z12" s="69"/>
      <c r="AA12" s="69"/>
      <c r="AB12" s="69" t="s">
        <v>270</v>
      </c>
      <c r="AD12" s="86">
        <f>AD10-AD11</f>
        <v>0</v>
      </c>
    </row>
    <row r="13" spans="1:30" hidden="1" x14ac:dyDescent="0.25">
      <c r="A13" s="67" t="s">
        <v>273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274</v>
      </c>
      <c r="B14" s="76">
        <v>111</v>
      </c>
      <c r="C14" s="76">
        <v>120</v>
      </c>
      <c r="D14" s="68">
        <f>V14</f>
        <v>0</v>
      </c>
      <c r="E14" s="77" t="s">
        <v>270</v>
      </c>
      <c r="F14" s="78" t="s">
        <v>270</v>
      </c>
      <c r="G14" s="78" t="s">
        <v>270</v>
      </c>
      <c r="H14" s="78" t="s">
        <v>270</v>
      </c>
      <c r="I14" s="78" t="s">
        <v>270</v>
      </c>
      <c r="J14" s="78" t="s">
        <v>270</v>
      </c>
      <c r="K14" s="78" t="s">
        <v>270</v>
      </c>
      <c r="L14" s="77" t="s">
        <v>270</v>
      </c>
      <c r="M14" s="78" t="s">
        <v>270</v>
      </c>
      <c r="N14" s="78" t="s">
        <v>270</v>
      </c>
      <c r="O14" s="78" t="s">
        <v>270</v>
      </c>
      <c r="P14" s="78" t="s">
        <v>270</v>
      </c>
      <c r="Q14" s="78" t="s">
        <v>270</v>
      </c>
      <c r="R14" s="78" t="s">
        <v>270</v>
      </c>
      <c r="S14" s="78" t="s">
        <v>270</v>
      </c>
      <c r="T14" s="78" t="s">
        <v>270</v>
      </c>
      <c r="U14" s="78" t="s">
        <v>270</v>
      </c>
      <c r="V14" s="68">
        <f>SUM(W14:AB14)</f>
        <v>0</v>
      </c>
      <c r="W14" s="78"/>
      <c r="X14" s="78"/>
      <c r="Y14" s="78"/>
      <c r="Z14" s="78"/>
      <c r="AA14" s="78"/>
      <c r="AB14" s="78" t="s">
        <v>270</v>
      </c>
    </row>
    <row r="15" spans="1:30" hidden="1" x14ac:dyDescent="0.25">
      <c r="A15" s="67" t="s">
        <v>275</v>
      </c>
      <c r="B15" s="67">
        <v>112</v>
      </c>
      <c r="C15" s="67">
        <v>120</v>
      </c>
      <c r="D15" s="68">
        <f>V15</f>
        <v>0</v>
      </c>
      <c r="E15" s="68" t="s">
        <v>270</v>
      </c>
      <c r="F15" s="69" t="s">
        <v>270</v>
      </c>
      <c r="G15" s="69" t="s">
        <v>270</v>
      </c>
      <c r="H15" s="69" t="s">
        <v>270</v>
      </c>
      <c r="I15" s="69" t="s">
        <v>270</v>
      </c>
      <c r="J15" s="69" t="s">
        <v>270</v>
      </c>
      <c r="K15" s="69" t="s">
        <v>270</v>
      </c>
      <c r="L15" s="68" t="s">
        <v>270</v>
      </c>
      <c r="M15" s="69" t="s">
        <v>270</v>
      </c>
      <c r="N15" s="69" t="s">
        <v>270</v>
      </c>
      <c r="O15" s="69" t="s">
        <v>270</v>
      </c>
      <c r="P15" s="69" t="s">
        <v>270</v>
      </c>
      <c r="Q15" s="69" t="s">
        <v>270</v>
      </c>
      <c r="R15" s="69" t="s">
        <v>270</v>
      </c>
      <c r="S15" s="69" t="s">
        <v>270</v>
      </c>
      <c r="T15" s="69" t="s">
        <v>270</v>
      </c>
      <c r="U15" s="69" t="s">
        <v>270</v>
      </c>
      <c r="V15" s="68">
        <f>SUM(W15:AB15)</f>
        <v>0</v>
      </c>
      <c r="W15" s="69"/>
      <c r="X15" s="69"/>
      <c r="Y15" s="69"/>
      <c r="Z15" s="69"/>
      <c r="AA15" s="69"/>
      <c r="AB15" s="69" t="s">
        <v>270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276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270</v>
      </c>
      <c r="M17" s="69" t="s">
        <v>270</v>
      </c>
      <c r="N17" s="69" t="s">
        <v>270</v>
      </c>
      <c r="O17" s="69" t="s">
        <v>270</v>
      </c>
      <c r="P17" s="69" t="s">
        <v>270</v>
      </c>
      <c r="Q17" s="69" t="s">
        <v>270</v>
      </c>
      <c r="R17" s="69" t="s">
        <v>270</v>
      </c>
      <c r="S17" s="69" t="s">
        <v>270</v>
      </c>
      <c r="T17" s="69" t="s">
        <v>270</v>
      </c>
      <c r="U17" s="69" t="s">
        <v>270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115"/>
    </row>
    <row r="18" spans="1:30" ht="11.25" customHeight="1" x14ac:dyDescent="0.25">
      <c r="A18" s="67" t="s">
        <v>273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277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270</v>
      </c>
      <c r="M19" s="69" t="s">
        <v>270</v>
      </c>
      <c r="N19" s="69" t="s">
        <v>270</v>
      </c>
      <c r="O19" s="69" t="s">
        <v>270</v>
      </c>
      <c r="P19" s="69" t="s">
        <v>270</v>
      </c>
      <c r="Q19" s="69" t="s">
        <v>270</v>
      </c>
      <c r="R19" s="69" t="s">
        <v>270</v>
      </c>
      <c r="S19" s="69" t="s">
        <v>270</v>
      </c>
      <c r="T19" s="69" t="s">
        <v>270</v>
      </c>
      <c r="U19" s="69" t="s">
        <v>270</v>
      </c>
      <c r="V19" s="68"/>
      <c r="W19" s="69"/>
      <c r="X19" s="69"/>
      <c r="Y19" s="69"/>
      <c r="Z19" s="69"/>
      <c r="AA19" s="69"/>
      <c r="AB19" s="69" t="s">
        <v>270</v>
      </c>
    </row>
    <row r="20" spans="1:30" hidden="1" x14ac:dyDescent="0.25">
      <c r="A20" s="67" t="s">
        <v>278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270</v>
      </c>
      <c r="M20" s="69" t="s">
        <v>270</v>
      </c>
      <c r="N20" s="69" t="s">
        <v>270</v>
      </c>
      <c r="O20" s="69" t="s">
        <v>270</v>
      </c>
      <c r="P20" s="69" t="s">
        <v>270</v>
      </c>
      <c r="Q20" s="69" t="s">
        <v>270</v>
      </c>
      <c r="R20" s="69" t="s">
        <v>270</v>
      </c>
      <c r="S20" s="69" t="s">
        <v>270</v>
      </c>
      <c r="T20" s="69" t="s">
        <v>270</v>
      </c>
      <c r="U20" s="69" t="s">
        <v>270</v>
      </c>
      <c r="V20" s="68">
        <f>SUM(W20:AB20)</f>
        <v>0</v>
      </c>
      <c r="W20" s="69"/>
      <c r="X20" s="69"/>
      <c r="Y20" s="69"/>
      <c r="Z20" s="69"/>
      <c r="AA20" s="69"/>
      <c r="AB20" s="69" t="s">
        <v>270</v>
      </c>
    </row>
    <row r="21" spans="1:30" hidden="1" x14ac:dyDescent="0.25">
      <c r="A21" s="67" t="s">
        <v>279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280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281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282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283</v>
      </c>
      <c r="B26" s="67">
        <v>130</v>
      </c>
      <c r="C26" s="67">
        <v>140</v>
      </c>
      <c r="D26" s="68">
        <f>V26</f>
        <v>0</v>
      </c>
      <c r="E26" s="68" t="s">
        <v>270</v>
      </c>
      <c r="F26" s="69" t="s">
        <v>270</v>
      </c>
      <c r="G26" s="69" t="s">
        <v>270</v>
      </c>
      <c r="H26" s="69" t="s">
        <v>270</v>
      </c>
      <c r="I26" s="69" t="s">
        <v>270</v>
      </c>
      <c r="J26" s="69" t="s">
        <v>270</v>
      </c>
      <c r="K26" s="69" t="s">
        <v>270</v>
      </c>
      <c r="L26" s="68" t="s">
        <v>270</v>
      </c>
      <c r="M26" s="69" t="s">
        <v>270</v>
      </c>
      <c r="N26" s="69" t="s">
        <v>270</v>
      </c>
      <c r="O26" s="69" t="s">
        <v>270</v>
      </c>
      <c r="P26" s="69" t="s">
        <v>270</v>
      </c>
      <c r="Q26" s="69" t="s">
        <v>270</v>
      </c>
      <c r="R26" s="69" t="s">
        <v>270</v>
      </c>
      <c r="S26" s="69" t="s">
        <v>270</v>
      </c>
      <c r="T26" s="69" t="s">
        <v>270</v>
      </c>
      <c r="U26" s="69" t="s">
        <v>270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284</v>
      </c>
      <c r="B28" s="67">
        <v>140</v>
      </c>
      <c r="C28" s="67">
        <v>150</v>
      </c>
      <c r="D28" s="68">
        <f>V28</f>
        <v>0</v>
      </c>
      <c r="E28" s="68" t="s">
        <v>270</v>
      </c>
      <c r="F28" s="69" t="s">
        <v>270</v>
      </c>
      <c r="G28" s="69" t="s">
        <v>270</v>
      </c>
      <c r="H28" s="69" t="s">
        <v>270</v>
      </c>
      <c r="I28" s="69" t="s">
        <v>270</v>
      </c>
      <c r="J28" s="69" t="s">
        <v>270</v>
      </c>
      <c r="K28" s="69" t="s">
        <v>270</v>
      </c>
      <c r="L28" s="68" t="s">
        <v>270</v>
      </c>
      <c r="M28" s="69" t="s">
        <v>270</v>
      </c>
      <c r="N28" s="69" t="s">
        <v>270</v>
      </c>
      <c r="O28" s="69" t="s">
        <v>270</v>
      </c>
      <c r="P28" s="69" t="s">
        <v>270</v>
      </c>
      <c r="Q28" s="69" t="s">
        <v>270</v>
      </c>
      <c r="R28" s="69" t="s">
        <v>270</v>
      </c>
      <c r="S28" s="69" t="s">
        <v>270</v>
      </c>
      <c r="T28" s="69"/>
      <c r="U28" s="69" t="s">
        <v>270</v>
      </c>
      <c r="V28" s="68">
        <f>SUM(W28:AB28)</f>
        <v>0</v>
      </c>
      <c r="W28" s="69"/>
      <c r="X28" s="69"/>
      <c r="Y28" s="69"/>
      <c r="Z28" s="69"/>
      <c r="AA28" s="69"/>
      <c r="AB28" s="69" t="s">
        <v>270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115"/>
    </row>
    <row r="30" spans="1:30" ht="13.5" customHeight="1" x14ac:dyDescent="0.25">
      <c r="A30" s="67" t="s">
        <v>285</v>
      </c>
      <c r="B30" s="67">
        <v>150</v>
      </c>
      <c r="C30" s="67">
        <v>180</v>
      </c>
      <c r="D30" s="68">
        <f>L30+U30</f>
        <v>7948000</v>
      </c>
      <c r="E30" s="68" t="s">
        <v>270</v>
      </c>
      <c r="F30" s="69" t="s">
        <v>270</v>
      </c>
      <c r="G30" s="69" t="s">
        <v>270</v>
      </c>
      <c r="H30" s="69" t="s">
        <v>270</v>
      </c>
      <c r="I30" s="69" t="s">
        <v>270</v>
      </c>
      <c r="J30" s="69" t="s">
        <v>270</v>
      </c>
      <c r="K30" s="69" t="s">
        <v>270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270</v>
      </c>
      <c r="W30" s="69" t="s">
        <v>270</v>
      </c>
      <c r="X30" s="69" t="s">
        <v>270</v>
      </c>
      <c r="Y30" s="69" t="s">
        <v>270</v>
      </c>
      <c r="Z30" s="69" t="s">
        <v>270</v>
      </c>
      <c r="AA30" s="69" t="s">
        <v>270</v>
      </c>
      <c r="AB30" s="69" t="s">
        <v>270</v>
      </c>
      <c r="AD30" s="90"/>
    </row>
    <row r="31" spans="1:30" x14ac:dyDescent="0.25">
      <c r="A31" s="67" t="s">
        <v>187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285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680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286</v>
      </c>
      <c r="B34" s="67">
        <v>160</v>
      </c>
      <c r="C34" s="67"/>
      <c r="D34" s="68">
        <f>V34</f>
        <v>0</v>
      </c>
      <c r="E34" s="68" t="s">
        <v>270</v>
      </c>
      <c r="F34" s="69" t="s">
        <v>270</v>
      </c>
      <c r="G34" s="69" t="s">
        <v>270</v>
      </c>
      <c r="H34" s="69" t="s">
        <v>270</v>
      </c>
      <c r="I34" s="69" t="s">
        <v>270</v>
      </c>
      <c r="J34" s="69" t="s">
        <v>270</v>
      </c>
      <c r="K34" s="69" t="s">
        <v>270</v>
      </c>
      <c r="L34" s="68" t="s">
        <v>270</v>
      </c>
      <c r="M34" s="69" t="s">
        <v>270</v>
      </c>
      <c r="N34" s="69" t="s">
        <v>270</v>
      </c>
      <c r="O34" s="69" t="s">
        <v>270</v>
      </c>
      <c r="P34" s="69" t="s">
        <v>270</v>
      </c>
      <c r="Q34" s="69" t="s">
        <v>270</v>
      </c>
      <c r="R34" s="69" t="s">
        <v>270</v>
      </c>
      <c r="S34" s="69" t="s">
        <v>270</v>
      </c>
      <c r="T34" s="69" t="s">
        <v>270</v>
      </c>
      <c r="U34" s="69" t="s">
        <v>270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187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610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611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287</v>
      </c>
      <c r="B38" s="67" t="s">
        <v>288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289</v>
      </c>
      <c r="B41" s="67">
        <v>180</v>
      </c>
      <c r="C41" s="67" t="s">
        <v>270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187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290</v>
      </c>
      <c r="B43" s="67">
        <v>181</v>
      </c>
      <c r="C43" s="67">
        <v>400</v>
      </c>
      <c r="D43" s="68">
        <f>V43</f>
        <v>0</v>
      </c>
      <c r="E43" s="68" t="s">
        <v>270</v>
      </c>
      <c r="F43" s="69" t="s">
        <v>270</v>
      </c>
      <c r="G43" s="69" t="s">
        <v>270</v>
      </c>
      <c r="H43" s="69" t="s">
        <v>270</v>
      </c>
      <c r="I43" s="69" t="s">
        <v>270</v>
      </c>
      <c r="J43" s="69" t="s">
        <v>270</v>
      </c>
      <c r="K43" s="69" t="s">
        <v>270</v>
      </c>
      <c r="L43" s="68" t="s">
        <v>270</v>
      </c>
      <c r="M43" s="69" t="s">
        <v>270</v>
      </c>
      <c r="N43" s="69" t="s">
        <v>270</v>
      </c>
      <c r="O43" s="69" t="s">
        <v>270</v>
      </c>
      <c r="P43" s="69" t="s">
        <v>270</v>
      </c>
      <c r="Q43" s="69" t="s">
        <v>270</v>
      </c>
      <c r="R43" s="69" t="s">
        <v>270</v>
      </c>
      <c r="S43" s="69" t="s">
        <v>270</v>
      </c>
      <c r="T43" s="69"/>
      <c r="U43" s="69" t="s">
        <v>270</v>
      </c>
      <c r="V43" s="68">
        <f>SUM(W43:AB43)</f>
        <v>0</v>
      </c>
      <c r="W43" s="69"/>
      <c r="X43" s="69"/>
      <c r="Y43" s="69"/>
      <c r="Z43" s="69"/>
      <c r="AA43" s="69"/>
      <c r="AB43" s="69" t="s">
        <v>270</v>
      </c>
    </row>
    <row r="44" spans="1:28" hidden="1" x14ac:dyDescent="0.25">
      <c r="A44" s="67" t="s">
        <v>185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291</v>
      </c>
      <c r="B45" s="67">
        <v>181.1</v>
      </c>
      <c r="C45" s="67">
        <v>410</v>
      </c>
      <c r="D45" s="68">
        <f>V45</f>
        <v>0</v>
      </c>
      <c r="E45" s="68" t="s">
        <v>270</v>
      </c>
      <c r="F45" s="69" t="s">
        <v>270</v>
      </c>
      <c r="G45" s="69" t="s">
        <v>270</v>
      </c>
      <c r="H45" s="69" t="s">
        <v>270</v>
      </c>
      <c r="I45" s="69" t="s">
        <v>270</v>
      </c>
      <c r="J45" s="69" t="s">
        <v>270</v>
      </c>
      <c r="K45" s="69" t="s">
        <v>270</v>
      </c>
      <c r="L45" s="68" t="s">
        <v>270</v>
      </c>
      <c r="M45" s="69" t="s">
        <v>270</v>
      </c>
      <c r="N45" s="69" t="s">
        <v>270</v>
      </c>
      <c r="O45" s="69" t="s">
        <v>270</v>
      </c>
      <c r="P45" s="69" t="s">
        <v>270</v>
      </c>
      <c r="Q45" s="69" t="s">
        <v>270</v>
      </c>
      <c r="R45" s="69" t="s">
        <v>270</v>
      </c>
      <c r="S45" s="69" t="s">
        <v>270</v>
      </c>
      <c r="T45" s="69"/>
      <c r="U45" s="69" t="s">
        <v>270</v>
      </c>
      <c r="V45" s="68">
        <f>SUM(W45:AB45)</f>
        <v>0</v>
      </c>
      <c r="W45" s="69"/>
      <c r="X45" s="69"/>
      <c r="Y45" s="69"/>
      <c r="Z45" s="69"/>
      <c r="AA45" s="69"/>
      <c r="AB45" s="69" t="s">
        <v>270</v>
      </c>
    </row>
    <row r="46" spans="1:28" hidden="1" x14ac:dyDescent="0.25">
      <c r="A46" s="67" t="s">
        <v>292</v>
      </c>
      <c r="B46" s="67">
        <v>181.2</v>
      </c>
      <c r="C46" s="67">
        <v>420</v>
      </c>
      <c r="D46" s="68">
        <f>V46</f>
        <v>0</v>
      </c>
      <c r="E46" s="68" t="s">
        <v>270</v>
      </c>
      <c r="F46" s="69" t="s">
        <v>270</v>
      </c>
      <c r="G46" s="69" t="s">
        <v>270</v>
      </c>
      <c r="H46" s="69" t="s">
        <v>270</v>
      </c>
      <c r="I46" s="69" t="s">
        <v>270</v>
      </c>
      <c r="J46" s="69" t="s">
        <v>270</v>
      </c>
      <c r="K46" s="69" t="s">
        <v>270</v>
      </c>
      <c r="L46" s="68" t="s">
        <v>270</v>
      </c>
      <c r="M46" s="69" t="s">
        <v>270</v>
      </c>
      <c r="N46" s="69" t="s">
        <v>270</v>
      </c>
      <c r="O46" s="69" t="s">
        <v>270</v>
      </c>
      <c r="P46" s="69" t="s">
        <v>270</v>
      </c>
      <c r="Q46" s="69" t="s">
        <v>270</v>
      </c>
      <c r="R46" s="69" t="s">
        <v>270</v>
      </c>
      <c r="S46" s="69" t="s">
        <v>270</v>
      </c>
      <c r="T46" s="69"/>
      <c r="U46" s="69" t="s">
        <v>270</v>
      </c>
      <c r="V46" s="68">
        <f>SUM(W46:AB46)</f>
        <v>0</v>
      </c>
      <c r="W46" s="69"/>
      <c r="X46" s="69"/>
      <c r="Y46" s="69"/>
      <c r="Z46" s="69"/>
      <c r="AA46" s="69"/>
      <c r="AB46" s="69" t="s">
        <v>270</v>
      </c>
    </row>
    <row r="47" spans="1:28" hidden="1" x14ac:dyDescent="0.25">
      <c r="A47" s="67" t="s">
        <v>293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294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295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185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296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666</v>
      </c>
    </row>
    <row r="53" spans="1:31" x14ac:dyDescent="0.25">
      <c r="A53" s="67" t="s">
        <v>297</v>
      </c>
      <c r="B53" s="67">
        <v>200</v>
      </c>
      <c r="C53" s="67" t="s">
        <v>298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299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631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185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300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185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301</v>
      </c>
      <c r="B59" s="67">
        <v>211.1</v>
      </c>
      <c r="C59" s="67" t="s">
        <v>574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834</v>
      </c>
      <c r="B60" s="67"/>
      <c r="C60" s="67" t="s">
        <v>835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612</v>
      </c>
      <c r="B61" s="67">
        <v>211.2</v>
      </c>
      <c r="C61" s="67" t="s">
        <v>836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302</v>
      </c>
      <c r="B62" s="67">
        <v>211.3</v>
      </c>
      <c r="C62" s="67" t="s">
        <v>303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304</v>
      </c>
      <c r="B63" s="67">
        <v>211.4</v>
      </c>
      <c r="C63" s="67" t="s">
        <v>305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306</v>
      </c>
      <c r="B64" s="67">
        <v>211.5</v>
      </c>
      <c r="C64" s="67" t="s">
        <v>576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307</v>
      </c>
      <c r="B65" s="67">
        <v>211.6</v>
      </c>
      <c r="C65" s="67" t="s">
        <v>308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309</v>
      </c>
      <c r="B66" s="67">
        <v>211.7</v>
      </c>
      <c r="C66" s="67" t="s">
        <v>577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838</v>
      </c>
      <c r="B67" s="67"/>
      <c r="C67" s="67" t="s">
        <v>837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310</v>
      </c>
      <c r="B68" s="67">
        <v>211.8</v>
      </c>
      <c r="C68" s="67" t="s">
        <v>578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840</v>
      </c>
      <c r="B69" s="67"/>
      <c r="C69" s="67" t="s">
        <v>839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311</v>
      </c>
      <c r="B70" s="67">
        <v>211.9</v>
      </c>
      <c r="C70" s="67" t="s">
        <v>312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313</v>
      </c>
      <c r="B71" s="67">
        <v>211.1</v>
      </c>
      <c r="C71" s="67" t="s">
        <v>843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315</v>
      </c>
      <c r="B72" s="67">
        <v>211.11</v>
      </c>
      <c r="C72" s="67" t="s">
        <v>579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316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187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317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185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318</v>
      </c>
      <c r="B77" s="67">
        <v>221.1</v>
      </c>
      <c r="C77" s="67" t="s">
        <v>319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613</v>
      </c>
      <c r="B78" s="67">
        <v>221.2</v>
      </c>
      <c r="C78" s="67" t="s">
        <v>320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321</v>
      </c>
      <c r="B79" s="67">
        <v>221.3</v>
      </c>
      <c r="C79" s="67" t="s">
        <v>846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323</v>
      </c>
      <c r="B80" s="67">
        <v>222</v>
      </c>
      <c r="C80" s="67" t="s">
        <v>324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325</v>
      </c>
      <c r="B81" s="67">
        <v>223</v>
      </c>
      <c r="C81" s="67" t="s">
        <v>326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327</v>
      </c>
      <c r="B82" s="67">
        <v>224</v>
      </c>
      <c r="C82" s="67" t="s">
        <v>328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329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187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330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185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331</v>
      </c>
      <c r="B87" s="67">
        <v>231.1</v>
      </c>
      <c r="C87" s="67" t="s">
        <v>332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333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185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334</v>
      </c>
      <c r="B90" s="67">
        <v>232.1</v>
      </c>
      <c r="C90" s="67" t="s">
        <v>780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336</v>
      </c>
      <c r="B91" s="67">
        <v>232.2</v>
      </c>
      <c r="C91" s="67" t="s">
        <v>337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338</v>
      </c>
      <c r="B92" s="67">
        <v>232.3</v>
      </c>
      <c r="C92" s="67" t="s">
        <v>339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340</v>
      </c>
      <c r="B93" s="67">
        <v>232.4</v>
      </c>
      <c r="C93" s="67" t="s">
        <v>341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342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343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344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265">
        <f>2260200</f>
        <v>2260200</v>
      </c>
    </row>
    <row r="100" spans="1:30" ht="11.25" customHeight="1" x14ac:dyDescent="0.25">
      <c r="A100" s="67" t="s">
        <v>187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345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185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346</v>
      </c>
      <c r="B103" s="67">
        <v>261.10000000000002</v>
      </c>
      <c r="C103" s="67" t="s">
        <v>347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348</v>
      </c>
      <c r="B104" s="67">
        <v>261.2</v>
      </c>
      <c r="C104" s="67" t="s">
        <v>349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350</v>
      </c>
      <c r="B105" s="67">
        <v>261.3</v>
      </c>
      <c r="C105" s="67" t="s">
        <v>351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352</v>
      </c>
      <c r="B106" s="67">
        <v>261.39999999999998</v>
      </c>
      <c r="C106" s="67" t="s">
        <v>353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354</v>
      </c>
      <c r="B107" s="67">
        <v>261.5</v>
      </c>
      <c r="C107" s="67" t="s">
        <v>580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355</v>
      </c>
      <c r="B108" s="67">
        <v>261.60000000000002</v>
      </c>
      <c r="C108" s="67" t="s">
        <v>639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310</v>
      </c>
      <c r="B109" s="67">
        <v>261.7</v>
      </c>
      <c r="C109" s="67" t="s">
        <v>581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356</v>
      </c>
      <c r="B110" s="67">
        <v>261.8</v>
      </c>
      <c r="C110" s="67" t="s">
        <v>582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357</v>
      </c>
      <c r="B111" s="67">
        <v>261.89999999999998</v>
      </c>
      <c r="C111" s="67" t="s">
        <v>583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358</v>
      </c>
      <c r="B112" s="67">
        <v>261.10000000000002</v>
      </c>
      <c r="C112" s="67" t="s">
        <v>584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359</v>
      </c>
      <c r="B113" s="67">
        <v>261.11</v>
      </c>
      <c r="C113" s="67" t="s">
        <v>585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360</v>
      </c>
      <c r="B114" s="67">
        <v>261.12</v>
      </c>
      <c r="C114" s="67" t="s">
        <v>586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361</v>
      </c>
      <c r="B115" s="67">
        <v>261.13</v>
      </c>
      <c r="C115" s="67" t="s">
        <v>587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362</v>
      </c>
      <c r="B116" s="67">
        <v>261.14</v>
      </c>
      <c r="C116" s="67" t="s">
        <v>588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363</v>
      </c>
      <c r="B117" s="67">
        <v>261.14999999999998</v>
      </c>
      <c r="C117" s="67" t="s">
        <v>589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364</v>
      </c>
      <c r="B118" s="67">
        <v>261.16000000000003</v>
      </c>
      <c r="C118" s="67" t="s">
        <v>365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366</v>
      </c>
      <c r="B119" s="67">
        <v>261.17</v>
      </c>
      <c r="C119" s="67" t="s">
        <v>590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845</v>
      </c>
      <c r="B120" s="67"/>
      <c r="C120" s="67" t="s">
        <v>844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367</v>
      </c>
      <c r="B121" s="67">
        <v>261.18</v>
      </c>
      <c r="C121" s="67" t="s">
        <v>591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368</v>
      </c>
      <c r="B122" s="67">
        <v>261.19</v>
      </c>
      <c r="C122" s="67" t="s">
        <v>592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369</v>
      </c>
      <c r="B123" s="67">
        <v>261.2</v>
      </c>
      <c r="C123" s="67" t="s">
        <v>593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370</v>
      </c>
      <c r="B124" s="67">
        <v>261.20999999999998</v>
      </c>
      <c r="C124" s="67" t="s">
        <v>371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372</v>
      </c>
      <c r="B125" s="67">
        <v>261.22000000000003</v>
      </c>
      <c r="C125" s="67" t="s">
        <v>594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373</v>
      </c>
      <c r="B126" s="67">
        <v>261.23</v>
      </c>
      <c r="C126" s="67" t="s">
        <v>595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374</v>
      </c>
      <c r="B127" s="67">
        <v>261.24</v>
      </c>
      <c r="C127" s="67" t="s">
        <v>375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376</v>
      </c>
      <c r="B128" s="67">
        <v>261.25</v>
      </c>
      <c r="C128" s="67" t="s">
        <v>596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377</v>
      </c>
      <c r="B129" s="67">
        <v>261.26</v>
      </c>
      <c r="C129" s="67" t="s">
        <v>597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378</v>
      </c>
      <c r="B130" s="67">
        <v>261.27</v>
      </c>
      <c r="C130" s="67" t="s">
        <v>379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380</v>
      </c>
      <c r="B131" s="67">
        <v>261.27999999999997</v>
      </c>
      <c r="C131" s="67" t="s">
        <v>809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381</v>
      </c>
      <c r="B132" s="67">
        <v>261.29000000000002</v>
      </c>
      <c r="C132" s="67" t="s">
        <v>382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383</v>
      </c>
      <c r="B133" s="67">
        <v>261.3</v>
      </c>
      <c r="C133" s="67" t="s">
        <v>599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384</v>
      </c>
      <c r="B134" s="67">
        <v>261.31</v>
      </c>
      <c r="C134" s="67" t="s">
        <v>385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386</v>
      </c>
      <c r="B135" s="67">
        <v>261.32</v>
      </c>
      <c r="C135" s="67" t="s">
        <v>600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387</v>
      </c>
      <c r="B136" s="67">
        <v>261.33</v>
      </c>
      <c r="C136" s="67" t="s">
        <v>601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388</v>
      </c>
      <c r="B137" s="67">
        <v>261.33999999999997</v>
      </c>
      <c r="C137" s="67" t="s">
        <v>389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390</v>
      </c>
      <c r="B138" s="67">
        <v>261.35000000000002</v>
      </c>
      <c r="C138" s="67" t="s">
        <v>391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392</v>
      </c>
      <c r="B139" s="67">
        <v>261.36</v>
      </c>
      <c r="C139" s="67" t="s">
        <v>602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393</v>
      </c>
      <c r="B141" s="67">
        <v>300</v>
      </c>
      <c r="C141" s="67" t="s">
        <v>270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185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394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395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396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185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397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398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399</v>
      </c>
      <c r="B149" s="67">
        <v>500</v>
      </c>
      <c r="C149" s="67" t="s">
        <v>298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400</v>
      </c>
      <c r="B150" s="67">
        <v>600</v>
      </c>
      <c r="C150" s="67" t="s">
        <v>298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B147"/>
  <sheetViews>
    <sheetView workbookViewId="0">
      <pane xSplit="3" ySplit="9" topLeftCell="D55" activePane="bottomRight" state="frozen"/>
      <selection activeCell="D133" sqref="D133"/>
      <selection pane="topRight" activeCell="D133" sqref="D133"/>
      <selection pane="bottomLeft" activeCell="D133" sqref="D133"/>
      <selection pane="bottomRight" activeCell="D133" sqref="D133"/>
    </sheetView>
  </sheetViews>
  <sheetFormatPr defaultRowHeight="15" x14ac:dyDescent="0.25"/>
  <cols>
    <col min="1" max="1" width="27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hidden="1" customWidth="1"/>
    <col min="7" max="7" width="11.42578125" style="70" hidden="1" customWidth="1"/>
    <col min="8" max="8" width="13.140625" style="70" customWidth="1"/>
    <col min="9" max="9" width="11.42578125" style="70" hidden="1" customWidth="1"/>
    <col min="10" max="10" width="10" style="70" customWidth="1"/>
    <col min="11" max="11" width="11.42578125" style="70" customWidth="1"/>
    <col min="12" max="12" width="9.7109375" style="70" customWidth="1"/>
    <col min="13" max="13" width="7.5703125" style="70" customWidth="1"/>
    <col min="14" max="14" width="9.28515625" style="70" hidden="1" customWidth="1"/>
    <col min="15" max="15" width="11.42578125" style="70" hidden="1" customWidth="1"/>
    <col min="16" max="16" width="8.42578125" style="70" hidden="1" customWidth="1"/>
    <col min="17" max="17" width="10.7109375" style="70" customWidth="1"/>
    <col min="18" max="18" width="7" style="70" hidden="1" customWidth="1"/>
    <col min="19" max="19" width="11.42578125" style="70" hidden="1" customWidth="1"/>
    <col min="20" max="20" width="8.85546875" style="70" customWidth="1"/>
    <col min="21" max="24" width="11.42578125" style="70" hidden="1" customWidth="1"/>
    <col min="25" max="25" width="8.42578125" style="70" customWidth="1"/>
    <col min="26" max="26" width="11.42578125" style="70" hidden="1" customWidth="1"/>
    <col min="27" max="27" width="11.42578125" style="70" customWidth="1"/>
    <col min="28" max="28" width="12.85546875" style="70" bestFit="1" customWidth="1"/>
    <col min="29" max="16384" width="9.140625" style="70"/>
  </cols>
  <sheetData>
    <row r="2" spans="1:28" ht="15.75" x14ac:dyDescent="0.25">
      <c r="A2" s="282" t="s">
        <v>410</v>
      </c>
      <c r="B2" s="282"/>
      <c r="C2" s="282"/>
      <c r="D2" s="282"/>
      <c r="E2" s="282"/>
      <c r="F2" s="282"/>
      <c r="G2" s="282"/>
      <c r="H2" s="282"/>
      <c r="I2" s="282"/>
      <c r="J2" s="28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8" ht="15.75" x14ac:dyDescent="0.25">
      <c r="A3" s="282" t="s">
        <v>143</v>
      </c>
      <c r="B3" s="282"/>
      <c r="C3" s="282"/>
      <c r="D3" s="282"/>
      <c r="E3" s="282"/>
      <c r="F3" s="282"/>
      <c r="G3" s="282"/>
      <c r="H3" s="282"/>
      <c r="I3" s="282"/>
      <c r="J3" s="282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8" ht="15.75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8" x14ac:dyDescent="0.25">
      <c r="A5" s="283" t="s">
        <v>401</v>
      </c>
      <c r="B5" s="283" t="s">
        <v>402</v>
      </c>
      <c r="C5" s="283" t="s">
        <v>403</v>
      </c>
      <c r="D5" s="283" t="s">
        <v>404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</row>
    <row r="6" spans="1:28" x14ac:dyDescent="0.25">
      <c r="A6" s="283"/>
      <c r="B6" s="283"/>
      <c r="C6" s="283"/>
      <c r="D6" s="284" t="s">
        <v>405</v>
      </c>
      <c r="E6" s="283" t="s">
        <v>187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8" ht="60.75" customHeight="1" x14ac:dyDescent="0.25">
      <c r="A7" s="283"/>
      <c r="B7" s="283"/>
      <c r="C7" s="283"/>
      <c r="D7" s="285"/>
      <c r="E7" s="287" t="s">
        <v>406</v>
      </c>
      <c r="F7" s="288"/>
      <c r="G7" s="288"/>
      <c r="H7" s="288"/>
      <c r="I7" s="288"/>
      <c r="J7" s="289"/>
      <c r="K7" s="287" t="s">
        <v>407</v>
      </c>
      <c r="L7" s="288"/>
      <c r="M7" s="288"/>
      <c r="N7" s="288"/>
      <c r="O7" s="288"/>
      <c r="P7" s="288"/>
      <c r="Q7" s="288"/>
      <c r="R7" s="289"/>
      <c r="S7" s="284" t="s">
        <v>408</v>
      </c>
      <c r="T7" s="290" t="s">
        <v>409</v>
      </c>
      <c r="U7" s="290"/>
      <c r="V7" s="290"/>
      <c r="W7" s="290"/>
      <c r="X7" s="290"/>
      <c r="Y7" s="290"/>
      <c r="Z7" s="290"/>
    </row>
    <row r="8" spans="1:28" ht="186" customHeight="1" x14ac:dyDescent="0.25">
      <c r="A8" s="283"/>
      <c r="B8" s="283"/>
      <c r="C8" s="283"/>
      <c r="D8" s="286"/>
      <c r="E8" s="87" t="s">
        <v>603</v>
      </c>
      <c r="F8" s="73" t="s">
        <v>604</v>
      </c>
      <c r="G8" s="73" t="s">
        <v>671</v>
      </c>
      <c r="H8" s="73" t="s">
        <v>606</v>
      </c>
      <c r="I8" s="73" t="s">
        <v>605</v>
      </c>
      <c r="J8" s="73" t="s">
        <v>657</v>
      </c>
      <c r="K8" s="87" t="s">
        <v>603</v>
      </c>
      <c r="L8" s="73" t="s">
        <v>615</v>
      </c>
      <c r="M8" s="73" t="s">
        <v>614</v>
      </c>
      <c r="N8" s="73" t="s">
        <v>616</v>
      </c>
      <c r="O8" s="73" t="s">
        <v>617</v>
      </c>
      <c r="P8" s="73" t="s">
        <v>618</v>
      </c>
      <c r="Q8" s="73" t="s">
        <v>667</v>
      </c>
      <c r="R8" s="73" t="s">
        <v>675</v>
      </c>
      <c r="S8" s="286"/>
      <c r="T8" s="88" t="s">
        <v>405</v>
      </c>
      <c r="U8" s="88" t="s">
        <v>625</v>
      </c>
      <c r="V8" s="88" t="s">
        <v>626</v>
      </c>
      <c r="W8" s="88" t="s">
        <v>627</v>
      </c>
      <c r="X8" s="88" t="s">
        <v>630</v>
      </c>
      <c r="Y8" s="88" t="s">
        <v>628</v>
      </c>
      <c r="Z8" s="88" t="s">
        <v>629</v>
      </c>
    </row>
    <row r="9" spans="1:28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11</v>
      </c>
      <c r="L9" s="74">
        <v>12</v>
      </c>
      <c r="M9" s="75">
        <v>13</v>
      </c>
      <c r="N9" s="75">
        <v>14</v>
      </c>
      <c r="O9" s="74">
        <v>15</v>
      </c>
      <c r="P9" s="75">
        <v>16</v>
      </c>
      <c r="Q9" s="75">
        <v>17</v>
      </c>
      <c r="R9" s="74">
        <v>18</v>
      </c>
      <c r="S9" s="75">
        <v>19</v>
      </c>
      <c r="T9" s="75">
        <v>20</v>
      </c>
      <c r="U9" s="75">
        <v>21</v>
      </c>
      <c r="V9" s="74">
        <v>22</v>
      </c>
      <c r="W9" s="75">
        <v>23</v>
      </c>
      <c r="X9" s="75">
        <v>24</v>
      </c>
      <c r="Y9" s="75">
        <v>25</v>
      </c>
      <c r="Z9" s="74">
        <v>26</v>
      </c>
    </row>
    <row r="10" spans="1:28" x14ac:dyDescent="0.25">
      <c r="A10" s="67" t="s">
        <v>556</v>
      </c>
      <c r="B10" s="67">
        <v>100</v>
      </c>
      <c r="C10" s="67" t="s">
        <v>270</v>
      </c>
      <c r="D10" s="68">
        <f>E10+K10+S10+T10</f>
        <v>36647200</v>
      </c>
      <c r="E10" s="68">
        <f>SUM(F10:J10)</f>
        <v>34008900</v>
      </c>
      <c r="F10" s="68">
        <f>F17</f>
        <v>0</v>
      </c>
      <c r="G10" s="68">
        <f>G17</f>
        <v>0</v>
      </c>
      <c r="H10" s="68">
        <f>H17</f>
        <v>33878500</v>
      </c>
      <c r="I10" s="68">
        <f>I17</f>
        <v>0</v>
      </c>
      <c r="J10" s="68">
        <f>J17</f>
        <v>130400</v>
      </c>
      <c r="K10" s="68">
        <f>SUM(L10:R10)</f>
        <v>2638300</v>
      </c>
      <c r="L10" s="68">
        <f t="shared" ref="L10:R10" si="0">L30</f>
        <v>517600</v>
      </c>
      <c r="M10" s="68">
        <f t="shared" si="0"/>
        <v>4600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2116100</v>
      </c>
      <c r="R10" s="68">
        <f t="shared" si="0"/>
        <v>0</v>
      </c>
      <c r="S10" s="68"/>
      <c r="T10" s="68">
        <f>SUM(U10:Z10)</f>
        <v>0</v>
      </c>
      <c r="U10" s="68">
        <f>U17</f>
        <v>0</v>
      </c>
      <c r="V10" s="68">
        <f>V17</f>
        <v>0</v>
      </c>
      <c r="W10" s="68">
        <f>W17</f>
        <v>0</v>
      </c>
      <c r="X10" s="68">
        <f>X17</f>
        <v>0</v>
      </c>
      <c r="Y10" s="68">
        <f>Y17+Y32</f>
        <v>0</v>
      </c>
      <c r="Z10" s="68"/>
      <c r="AB10" s="86"/>
    </row>
    <row r="11" spans="1:28" x14ac:dyDescent="0.25">
      <c r="A11" s="67" t="s">
        <v>271</v>
      </c>
      <c r="B11" s="67"/>
      <c r="C11" s="67"/>
      <c r="D11" s="68"/>
      <c r="E11" s="68"/>
      <c r="F11" s="69"/>
      <c r="G11" s="69"/>
      <c r="H11" s="69"/>
      <c r="I11" s="69"/>
      <c r="J11" s="69"/>
      <c r="K11" s="68"/>
      <c r="L11" s="69"/>
      <c r="M11" s="69"/>
      <c r="N11" s="69"/>
      <c r="O11" s="69"/>
      <c r="P11" s="69"/>
      <c r="Q11" s="69"/>
      <c r="R11" s="69"/>
      <c r="S11" s="69"/>
      <c r="T11" s="68"/>
      <c r="U11" s="69"/>
      <c r="V11" s="69"/>
      <c r="W11" s="69"/>
      <c r="X11" s="69"/>
      <c r="Y11" s="69"/>
      <c r="Z11" s="69"/>
    </row>
    <row r="12" spans="1:28" x14ac:dyDescent="0.25">
      <c r="A12" s="67" t="s">
        <v>272</v>
      </c>
      <c r="B12" s="67">
        <v>110</v>
      </c>
      <c r="C12" s="67">
        <v>120</v>
      </c>
      <c r="D12" s="68">
        <f>T12</f>
        <v>0</v>
      </c>
      <c r="E12" s="68" t="s">
        <v>270</v>
      </c>
      <c r="F12" s="69" t="s">
        <v>270</v>
      </c>
      <c r="G12" s="69" t="s">
        <v>270</v>
      </c>
      <c r="H12" s="69" t="s">
        <v>270</v>
      </c>
      <c r="I12" s="69" t="s">
        <v>270</v>
      </c>
      <c r="J12" s="69" t="s">
        <v>270</v>
      </c>
      <c r="K12" s="68" t="s">
        <v>270</v>
      </c>
      <c r="L12" s="69" t="s">
        <v>270</v>
      </c>
      <c r="M12" s="69" t="s">
        <v>270</v>
      </c>
      <c r="N12" s="69" t="s">
        <v>270</v>
      </c>
      <c r="O12" s="69" t="s">
        <v>270</v>
      </c>
      <c r="P12" s="69" t="s">
        <v>270</v>
      </c>
      <c r="Q12" s="69" t="s">
        <v>270</v>
      </c>
      <c r="R12" s="69" t="s">
        <v>270</v>
      </c>
      <c r="S12" s="69" t="s">
        <v>270</v>
      </c>
      <c r="T12" s="68">
        <f>SUM(U12:Z12)</f>
        <v>0</v>
      </c>
      <c r="U12" s="69"/>
      <c r="V12" s="69"/>
      <c r="W12" s="69"/>
      <c r="X12" s="69"/>
      <c r="Y12" s="69"/>
      <c r="Z12" s="69" t="s">
        <v>270</v>
      </c>
    </row>
    <row r="13" spans="1:28" hidden="1" x14ac:dyDescent="0.25">
      <c r="A13" s="67" t="s">
        <v>273</v>
      </c>
      <c r="B13" s="67"/>
      <c r="C13" s="67"/>
      <c r="D13" s="68"/>
      <c r="E13" s="68"/>
      <c r="F13" s="69"/>
      <c r="G13" s="69"/>
      <c r="H13" s="69"/>
      <c r="I13" s="69"/>
      <c r="J13" s="69"/>
      <c r="K13" s="68"/>
      <c r="L13" s="69"/>
      <c r="M13" s="69"/>
      <c r="N13" s="69"/>
      <c r="O13" s="69"/>
      <c r="P13" s="69"/>
      <c r="Q13" s="69"/>
      <c r="R13" s="69"/>
      <c r="S13" s="69"/>
      <c r="T13" s="68"/>
      <c r="U13" s="69"/>
      <c r="V13" s="69"/>
      <c r="W13" s="69"/>
      <c r="X13" s="69"/>
      <c r="Y13" s="69"/>
      <c r="Z13" s="69"/>
    </row>
    <row r="14" spans="1:28" hidden="1" x14ac:dyDescent="0.25">
      <c r="A14" s="76" t="s">
        <v>274</v>
      </c>
      <c r="B14" s="76">
        <v>111</v>
      </c>
      <c r="C14" s="76">
        <v>120</v>
      </c>
      <c r="D14" s="68">
        <f>T14</f>
        <v>0</v>
      </c>
      <c r="E14" s="77" t="s">
        <v>270</v>
      </c>
      <c r="F14" s="78" t="s">
        <v>270</v>
      </c>
      <c r="G14" s="78" t="s">
        <v>270</v>
      </c>
      <c r="H14" s="78" t="s">
        <v>270</v>
      </c>
      <c r="I14" s="78" t="s">
        <v>270</v>
      </c>
      <c r="J14" s="78" t="s">
        <v>270</v>
      </c>
      <c r="K14" s="77" t="s">
        <v>270</v>
      </c>
      <c r="L14" s="78" t="s">
        <v>270</v>
      </c>
      <c r="M14" s="78" t="s">
        <v>270</v>
      </c>
      <c r="N14" s="78" t="s">
        <v>270</v>
      </c>
      <c r="O14" s="78" t="s">
        <v>270</v>
      </c>
      <c r="P14" s="78" t="s">
        <v>270</v>
      </c>
      <c r="Q14" s="78" t="s">
        <v>270</v>
      </c>
      <c r="R14" s="78" t="s">
        <v>270</v>
      </c>
      <c r="S14" s="78" t="s">
        <v>270</v>
      </c>
      <c r="T14" s="68">
        <f>SUM(U14:Z14)</f>
        <v>0</v>
      </c>
      <c r="U14" s="78"/>
      <c r="V14" s="78"/>
      <c r="W14" s="78"/>
      <c r="X14" s="78"/>
      <c r="Y14" s="78"/>
      <c r="Z14" s="78" t="s">
        <v>270</v>
      </c>
    </row>
    <row r="15" spans="1:28" ht="25.5" hidden="1" x14ac:dyDescent="0.25">
      <c r="A15" s="67" t="s">
        <v>275</v>
      </c>
      <c r="B15" s="67">
        <v>112</v>
      </c>
      <c r="C15" s="67">
        <v>120</v>
      </c>
      <c r="D15" s="68">
        <f>T15</f>
        <v>0</v>
      </c>
      <c r="E15" s="68" t="s">
        <v>270</v>
      </c>
      <c r="F15" s="69" t="s">
        <v>270</v>
      </c>
      <c r="G15" s="69" t="s">
        <v>270</v>
      </c>
      <c r="H15" s="69" t="s">
        <v>270</v>
      </c>
      <c r="I15" s="69" t="s">
        <v>270</v>
      </c>
      <c r="J15" s="69" t="s">
        <v>270</v>
      </c>
      <c r="K15" s="68" t="s">
        <v>270</v>
      </c>
      <c r="L15" s="69" t="s">
        <v>270</v>
      </c>
      <c r="M15" s="69" t="s">
        <v>270</v>
      </c>
      <c r="N15" s="69" t="s">
        <v>270</v>
      </c>
      <c r="O15" s="69" t="s">
        <v>270</v>
      </c>
      <c r="P15" s="69" t="s">
        <v>270</v>
      </c>
      <c r="Q15" s="69" t="s">
        <v>270</v>
      </c>
      <c r="R15" s="69" t="s">
        <v>270</v>
      </c>
      <c r="S15" s="69" t="s">
        <v>270</v>
      </c>
      <c r="T15" s="68">
        <f>SUM(U15:Z15)</f>
        <v>0</v>
      </c>
      <c r="U15" s="69"/>
      <c r="V15" s="69"/>
      <c r="W15" s="69"/>
      <c r="X15" s="69"/>
      <c r="Y15" s="69"/>
      <c r="Z15" s="69" t="s">
        <v>270</v>
      </c>
    </row>
    <row r="16" spans="1:28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8"/>
      <c r="L16" s="69"/>
      <c r="M16" s="69"/>
      <c r="N16" s="69"/>
      <c r="O16" s="69"/>
      <c r="P16" s="69"/>
      <c r="Q16" s="69"/>
      <c r="R16" s="69"/>
      <c r="S16" s="69"/>
      <c r="T16" s="68"/>
      <c r="U16" s="69"/>
      <c r="V16" s="69"/>
      <c r="W16" s="69"/>
      <c r="X16" s="69"/>
      <c r="Y16" s="69"/>
      <c r="Z16" s="69"/>
    </row>
    <row r="17" spans="1:28" ht="27.75" customHeight="1" x14ac:dyDescent="0.25">
      <c r="A17" s="67" t="s">
        <v>276</v>
      </c>
      <c r="B17" s="67">
        <v>120</v>
      </c>
      <c r="C17" s="67">
        <v>130</v>
      </c>
      <c r="D17" s="68">
        <f>E17+T17</f>
        <v>34008900</v>
      </c>
      <c r="E17" s="68">
        <f>SUM(F17:J17)</f>
        <v>34008900</v>
      </c>
      <c r="F17" s="69"/>
      <c r="G17" s="69"/>
      <c r="H17" s="68">
        <f>H19+H20+H21+H22+H23+H24</f>
        <v>33878500</v>
      </c>
      <c r="I17" s="68">
        <f>I19+I20+I21+I22+I23+I24</f>
        <v>0</v>
      </c>
      <c r="J17" s="68">
        <f>J19+J20+J21+J22+J23+J24</f>
        <v>130400</v>
      </c>
      <c r="K17" s="68" t="s">
        <v>270</v>
      </c>
      <c r="L17" s="69" t="s">
        <v>270</v>
      </c>
      <c r="M17" s="69" t="s">
        <v>270</v>
      </c>
      <c r="N17" s="69" t="s">
        <v>270</v>
      </c>
      <c r="O17" s="69" t="s">
        <v>270</v>
      </c>
      <c r="P17" s="69" t="s">
        <v>270</v>
      </c>
      <c r="Q17" s="69" t="s">
        <v>270</v>
      </c>
      <c r="R17" s="69" t="s">
        <v>270</v>
      </c>
      <c r="S17" s="69" t="s">
        <v>270</v>
      </c>
      <c r="T17" s="68">
        <f>SUM(U17:Z17)</f>
        <v>0</v>
      </c>
      <c r="U17" s="68">
        <f>U20</f>
        <v>0</v>
      </c>
      <c r="V17" s="68">
        <f>V21</f>
        <v>0</v>
      </c>
      <c r="W17" s="68">
        <f>W22</f>
        <v>0</v>
      </c>
      <c r="X17" s="68"/>
      <c r="Y17" s="68">
        <f>Y28</f>
        <v>0</v>
      </c>
      <c r="Z17" s="68" t="s">
        <v>270</v>
      </c>
    </row>
    <row r="18" spans="1:28" x14ac:dyDescent="0.25">
      <c r="A18" s="67" t="s">
        <v>273</v>
      </c>
      <c r="B18" s="67"/>
      <c r="C18" s="67"/>
      <c r="D18" s="68"/>
      <c r="E18" s="68"/>
      <c r="F18" s="69"/>
      <c r="G18" s="69"/>
      <c r="H18" s="69"/>
      <c r="I18" s="69"/>
      <c r="J18" s="69"/>
      <c r="K18" s="68"/>
      <c r="L18" s="69"/>
      <c r="M18" s="69"/>
      <c r="N18" s="69"/>
      <c r="O18" s="69"/>
      <c r="P18" s="69"/>
      <c r="Q18" s="69"/>
      <c r="R18" s="69"/>
      <c r="S18" s="69"/>
      <c r="T18" s="68"/>
      <c r="U18" s="69"/>
      <c r="V18" s="69"/>
      <c r="W18" s="69"/>
      <c r="X18" s="69"/>
      <c r="Y18" s="69"/>
      <c r="Z18" s="69"/>
    </row>
    <row r="19" spans="1:28" ht="76.5" x14ac:dyDescent="0.25">
      <c r="A19" s="67" t="s">
        <v>277</v>
      </c>
      <c r="B19" s="67">
        <v>121</v>
      </c>
      <c r="C19" s="67">
        <v>130</v>
      </c>
      <c r="D19" s="68">
        <f>E19</f>
        <v>34008900</v>
      </c>
      <c r="E19" s="68">
        <f>SUM(F19:J19)</f>
        <v>34008900</v>
      </c>
      <c r="F19" s="69"/>
      <c r="G19" s="69"/>
      <c r="H19" s="181">
        <f>36367000-2712500-130400+185800+168600</f>
        <v>33878500</v>
      </c>
      <c r="I19" s="69"/>
      <c r="J19" s="181">
        <v>130400</v>
      </c>
      <c r="K19" s="68" t="s">
        <v>270</v>
      </c>
      <c r="L19" s="69" t="s">
        <v>270</v>
      </c>
      <c r="M19" s="69" t="s">
        <v>270</v>
      </c>
      <c r="N19" s="69" t="s">
        <v>270</v>
      </c>
      <c r="O19" s="69" t="s">
        <v>270</v>
      </c>
      <c r="P19" s="69" t="s">
        <v>270</v>
      </c>
      <c r="Q19" s="69" t="s">
        <v>270</v>
      </c>
      <c r="R19" s="69" t="s">
        <v>270</v>
      </c>
      <c r="S19" s="69" t="s">
        <v>270</v>
      </c>
      <c r="T19" s="68"/>
      <c r="U19" s="69"/>
      <c r="V19" s="69"/>
      <c r="W19" s="69"/>
      <c r="X19" s="69"/>
      <c r="Y19" s="69"/>
      <c r="Z19" s="69" t="s">
        <v>270</v>
      </c>
      <c r="AB19" s="86">
        <f>36647200-D10</f>
        <v>0</v>
      </c>
    </row>
    <row r="20" spans="1:28" hidden="1" x14ac:dyDescent="0.25">
      <c r="A20" s="67" t="s">
        <v>278</v>
      </c>
      <c r="B20" s="67">
        <v>122</v>
      </c>
      <c r="C20" s="67">
        <v>130</v>
      </c>
      <c r="D20" s="68">
        <f>T20</f>
        <v>0</v>
      </c>
      <c r="E20" s="68"/>
      <c r="F20" s="69"/>
      <c r="G20" s="69"/>
      <c r="H20" s="181"/>
      <c r="I20" s="69"/>
      <c r="J20" s="181"/>
      <c r="K20" s="68" t="s">
        <v>270</v>
      </c>
      <c r="L20" s="69" t="s">
        <v>270</v>
      </c>
      <c r="M20" s="69" t="s">
        <v>270</v>
      </c>
      <c r="N20" s="69" t="s">
        <v>270</v>
      </c>
      <c r="O20" s="69" t="s">
        <v>270</v>
      </c>
      <c r="P20" s="69" t="s">
        <v>270</v>
      </c>
      <c r="Q20" s="69" t="s">
        <v>270</v>
      </c>
      <c r="R20" s="69" t="s">
        <v>270</v>
      </c>
      <c r="S20" s="69" t="s">
        <v>270</v>
      </c>
      <c r="T20" s="68">
        <f>SUM(U20:Z20)</f>
        <v>0</v>
      </c>
      <c r="U20" s="69"/>
      <c r="V20" s="69"/>
      <c r="W20" s="69"/>
      <c r="X20" s="69"/>
      <c r="Y20" s="69"/>
      <c r="Z20" s="69" t="s">
        <v>270</v>
      </c>
    </row>
    <row r="21" spans="1:28" hidden="1" x14ac:dyDescent="0.25">
      <c r="A21" s="67" t="s">
        <v>279</v>
      </c>
      <c r="B21" s="67">
        <v>123</v>
      </c>
      <c r="C21" s="67">
        <v>130</v>
      </c>
      <c r="D21" s="68">
        <f>E21+K21+S21+T21</f>
        <v>0</v>
      </c>
      <c r="E21" s="68"/>
      <c r="F21" s="69"/>
      <c r="G21" s="69"/>
      <c r="H21" s="181"/>
      <c r="I21" s="69"/>
      <c r="J21" s="181"/>
      <c r="K21" s="68"/>
      <c r="L21" s="69"/>
      <c r="M21" s="69"/>
      <c r="N21" s="69"/>
      <c r="O21" s="69"/>
      <c r="P21" s="69"/>
      <c r="Q21" s="69"/>
      <c r="R21" s="69"/>
      <c r="S21" s="69"/>
      <c r="T21" s="68">
        <f>SUM(U21:Z21)</f>
        <v>0</v>
      </c>
      <c r="U21" s="69"/>
      <c r="V21" s="69"/>
      <c r="W21" s="69"/>
      <c r="X21" s="69"/>
      <c r="Y21" s="69"/>
      <c r="Z21" s="69"/>
    </row>
    <row r="22" spans="1:28" ht="25.5" hidden="1" x14ac:dyDescent="0.25">
      <c r="A22" s="67" t="s">
        <v>280</v>
      </c>
      <c r="B22" s="67">
        <v>124</v>
      </c>
      <c r="C22" s="67">
        <v>130</v>
      </c>
      <c r="D22" s="68">
        <f>E22+K22+S22+T22</f>
        <v>0</v>
      </c>
      <c r="E22" s="68"/>
      <c r="F22" s="69"/>
      <c r="G22" s="69"/>
      <c r="H22" s="181"/>
      <c r="I22" s="69"/>
      <c r="J22" s="181"/>
      <c r="K22" s="68"/>
      <c r="L22" s="69"/>
      <c r="M22" s="69"/>
      <c r="N22" s="69"/>
      <c r="O22" s="69"/>
      <c r="P22" s="69"/>
      <c r="Q22" s="69"/>
      <c r="R22" s="69"/>
      <c r="S22" s="69"/>
      <c r="T22" s="68">
        <f>SUM(U22:Z22)</f>
        <v>0</v>
      </c>
      <c r="U22" s="69"/>
      <c r="V22" s="69"/>
      <c r="W22" s="69"/>
      <c r="X22" s="69"/>
      <c r="Y22" s="69"/>
      <c r="Z22" s="69"/>
    </row>
    <row r="23" spans="1:28" ht="25.5" hidden="1" x14ac:dyDescent="0.25">
      <c r="A23" s="67" t="s">
        <v>281</v>
      </c>
      <c r="B23" s="67">
        <v>125</v>
      </c>
      <c r="C23" s="67">
        <v>130</v>
      </c>
      <c r="D23" s="68">
        <f>E23+K23+S23+T23</f>
        <v>0</v>
      </c>
      <c r="E23" s="68"/>
      <c r="F23" s="69"/>
      <c r="G23" s="69"/>
      <c r="H23" s="181"/>
      <c r="I23" s="69"/>
      <c r="J23" s="181"/>
      <c r="K23" s="68"/>
      <c r="L23" s="69"/>
      <c r="M23" s="69"/>
      <c r="N23" s="69"/>
      <c r="O23" s="69"/>
      <c r="P23" s="69"/>
      <c r="Q23" s="69"/>
      <c r="R23" s="69"/>
      <c r="S23" s="69"/>
      <c r="T23" s="68">
        <f>SUM(U23:Z23)</f>
        <v>0</v>
      </c>
      <c r="U23" s="69"/>
      <c r="V23" s="69"/>
      <c r="W23" s="69"/>
      <c r="X23" s="69"/>
      <c r="Y23" s="69"/>
      <c r="Z23" s="69"/>
    </row>
    <row r="24" spans="1:28" ht="25.5" hidden="1" x14ac:dyDescent="0.25">
      <c r="A24" s="67" t="s">
        <v>282</v>
      </c>
      <c r="B24" s="67">
        <v>126</v>
      </c>
      <c r="C24" s="67">
        <v>130</v>
      </c>
      <c r="D24" s="68">
        <f>E24+K24+S24+T24</f>
        <v>0</v>
      </c>
      <c r="E24" s="68"/>
      <c r="F24" s="69"/>
      <c r="G24" s="69"/>
      <c r="H24" s="181"/>
      <c r="I24" s="69"/>
      <c r="J24" s="181"/>
      <c r="K24" s="68"/>
      <c r="L24" s="69"/>
      <c r="M24" s="69"/>
      <c r="N24" s="69"/>
      <c r="O24" s="69"/>
      <c r="P24" s="69"/>
      <c r="Q24" s="69"/>
      <c r="R24" s="69"/>
      <c r="S24" s="69"/>
      <c r="T24" s="68">
        <f>SUM(U24:Z24)</f>
        <v>0</v>
      </c>
      <c r="U24" s="69"/>
      <c r="V24" s="69"/>
      <c r="W24" s="69"/>
      <c r="X24" s="69"/>
      <c r="Y24" s="69"/>
      <c r="Z24" s="69"/>
    </row>
    <row r="25" spans="1:28" hidden="1" x14ac:dyDescent="0.25">
      <c r="A25" s="67"/>
      <c r="B25" s="67"/>
      <c r="C25" s="67"/>
      <c r="D25" s="68"/>
      <c r="E25" s="68"/>
      <c r="F25" s="69"/>
      <c r="G25" s="69"/>
      <c r="H25" s="181"/>
      <c r="I25" s="69"/>
      <c r="J25" s="181"/>
      <c r="K25" s="68"/>
      <c r="L25" s="69"/>
      <c r="M25" s="69"/>
      <c r="N25" s="69"/>
      <c r="O25" s="69"/>
      <c r="P25" s="69"/>
      <c r="Q25" s="69"/>
      <c r="R25" s="69"/>
      <c r="S25" s="69"/>
      <c r="T25" s="68"/>
      <c r="U25" s="69"/>
      <c r="V25" s="69"/>
      <c r="W25" s="69"/>
      <c r="X25" s="69"/>
      <c r="Y25" s="69"/>
      <c r="Z25" s="69"/>
    </row>
    <row r="26" spans="1:28" ht="38.25" hidden="1" x14ac:dyDescent="0.25">
      <c r="A26" s="67" t="s">
        <v>283</v>
      </c>
      <c r="B26" s="67">
        <v>130</v>
      </c>
      <c r="C26" s="67">
        <v>140</v>
      </c>
      <c r="D26" s="68">
        <f>T26</f>
        <v>0</v>
      </c>
      <c r="E26" s="68" t="s">
        <v>270</v>
      </c>
      <c r="F26" s="69" t="s">
        <v>270</v>
      </c>
      <c r="G26" s="69" t="s">
        <v>270</v>
      </c>
      <c r="H26" s="181" t="s">
        <v>270</v>
      </c>
      <c r="I26" s="69" t="s">
        <v>270</v>
      </c>
      <c r="J26" s="181" t="s">
        <v>270</v>
      </c>
      <c r="K26" s="68" t="s">
        <v>270</v>
      </c>
      <c r="L26" s="69" t="s">
        <v>270</v>
      </c>
      <c r="M26" s="69" t="s">
        <v>270</v>
      </c>
      <c r="N26" s="69" t="s">
        <v>270</v>
      </c>
      <c r="O26" s="69" t="s">
        <v>270</v>
      </c>
      <c r="P26" s="69" t="s">
        <v>270</v>
      </c>
      <c r="Q26" s="69" t="s">
        <v>270</v>
      </c>
      <c r="R26" s="69" t="s">
        <v>270</v>
      </c>
      <c r="S26" s="69" t="s">
        <v>270</v>
      </c>
      <c r="T26" s="68">
        <f>SUM(U26:Z26)</f>
        <v>0</v>
      </c>
      <c r="U26" s="69"/>
      <c r="V26" s="69"/>
      <c r="W26" s="69"/>
      <c r="X26" s="69"/>
      <c r="Y26" s="69"/>
      <c r="Z26" s="69" t="s">
        <v>270</v>
      </c>
    </row>
    <row r="27" spans="1:28" hidden="1" x14ac:dyDescent="0.25">
      <c r="A27" s="67"/>
      <c r="B27" s="67"/>
      <c r="C27" s="67"/>
      <c r="D27" s="68"/>
      <c r="E27" s="68"/>
      <c r="F27" s="69"/>
      <c r="G27" s="69"/>
      <c r="H27" s="181"/>
      <c r="I27" s="69"/>
      <c r="J27" s="181"/>
      <c r="K27" s="68"/>
      <c r="L27" s="69"/>
      <c r="M27" s="69"/>
      <c r="N27" s="69"/>
      <c r="O27" s="69"/>
      <c r="P27" s="69"/>
      <c r="Q27" s="69"/>
      <c r="R27" s="69"/>
      <c r="S27" s="69"/>
      <c r="T27" s="68"/>
      <c r="U27" s="69"/>
      <c r="V27" s="69"/>
      <c r="W27" s="69"/>
      <c r="X27" s="69"/>
      <c r="Y27" s="69"/>
      <c r="Z27" s="69"/>
    </row>
    <row r="28" spans="1:28" ht="63.75" hidden="1" x14ac:dyDescent="0.25">
      <c r="A28" s="67" t="s">
        <v>284</v>
      </c>
      <c r="B28" s="67">
        <v>140</v>
      </c>
      <c r="C28" s="67">
        <v>150</v>
      </c>
      <c r="D28" s="68">
        <f>T28</f>
        <v>0</v>
      </c>
      <c r="E28" s="68" t="s">
        <v>270</v>
      </c>
      <c r="F28" s="69" t="s">
        <v>270</v>
      </c>
      <c r="G28" s="69" t="s">
        <v>270</v>
      </c>
      <c r="H28" s="181" t="s">
        <v>270</v>
      </c>
      <c r="I28" s="69" t="s">
        <v>270</v>
      </c>
      <c r="J28" s="181" t="s">
        <v>270</v>
      </c>
      <c r="K28" s="68" t="s">
        <v>270</v>
      </c>
      <c r="L28" s="69" t="s">
        <v>270</v>
      </c>
      <c r="M28" s="69" t="s">
        <v>270</v>
      </c>
      <c r="N28" s="69" t="s">
        <v>270</v>
      </c>
      <c r="O28" s="69" t="s">
        <v>270</v>
      </c>
      <c r="P28" s="69" t="s">
        <v>270</v>
      </c>
      <c r="Q28" s="69" t="s">
        <v>270</v>
      </c>
      <c r="R28" s="69" t="s">
        <v>270</v>
      </c>
      <c r="S28" s="69" t="s">
        <v>270</v>
      </c>
      <c r="T28" s="68">
        <f>SUM(U28:Z28)</f>
        <v>0</v>
      </c>
      <c r="U28" s="69"/>
      <c r="V28" s="69"/>
      <c r="W28" s="69"/>
      <c r="X28" s="69"/>
      <c r="Y28" s="69"/>
      <c r="Z28" s="69" t="s">
        <v>270</v>
      </c>
    </row>
    <row r="29" spans="1:28" x14ac:dyDescent="0.25">
      <c r="A29" s="67"/>
      <c r="B29" s="67"/>
      <c r="C29" s="67"/>
      <c r="D29" s="68"/>
      <c r="E29" s="68"/>
      <c r="F29" s="69"/>
      <c r="G29" s="69"/>
      <c r="H29" s="181"/>
      <c r="I29" s="69"/>
      <c r="J29" s="181"/>
      <c r="K29" s="68"/>
      <c r="L29" s="69"/>
      <c r="M29" s="69"/>
      <c r="N29" s="69"/>
      <c r="O29" s="69"/>
      <c r="P29" s="69"/>
      <c r="Q29" s="69"/>
      <c r="R29" s="69"/>
      <c r="S29" s="69"/>
      <c r="T29" s="68"/>
      <c r="U29" s="69"/>
      <c r="V29" s="69"/>
      <c r="W29" s="69"/>
      <c r="X29" s="69"/>
      <c r="Y29" s="69"/>
      <c r="Z29" s="69"/>
    </row>
    <row r="30" spans="1:28" ht="25.5" x14ac:dyDescent="0.25">
      <c r="A30" s="67" t="s">
        <v>285</v>
      </c>
      <c r="B30" s="67">
        <v>150</v>
      </c>
      <c r="C30" s="67">
        <v>180</v>
      </c>
      <c r="D30" s="68">
        <f>K30+S30</f>
        <v>2638300</v>
      </c>
      <c r="E30" s="68" t="s">
        <v>270</v>
      </c>
      <c r="F30" s="69" t="s">
        <v>270</v>
      </c>
      <c r="G30" s="69" t="s">
        <v>270</v>
      </c>
      <c r="H30" s="181" t="s">
        <v>270</v>
      </c>
      <c r="I30" s="69" t="s">
        <v>270</v>
      </c>
      <c r="J30" s="181" t="s">
        <v>270</v>
      </c>
      <c r="K30" s="68">
        <f>SUM(L30:R30)</f>
        <v>2638300</v>
      </c>
      <c r="L30" s="181">
        <v>517600</v>
      </c>
      <c r="M30" s="181">
        <v>4600</v>
      </c>
      <c r="N30" s="69"/>
      <c r="O30" s="69"/>
      <c r="P30" s="69"/>
      <c r="Q30" s="181">
        <f>2190300-185800+111600</f>
        <v>2116100</v>
      </c>
      <c r="R30" s="69"/>
      <c r="S30" s="69"/>
      <c r="T30" s="68" t="s">
        <v>270</v>
      </c>
      <c r="U30" s="69" t="s">
        <v>270</v>
      </c>
      <c r="V30" s="69" t="s">
        <v>270</v>
      </c>
      <c r="W30" s="69" t="s">
        <v>270</v>
      </c>
      <c r="X30" s="69" t="s">
        <v>270</v>
      </c>
      <c r="Y30" s="69" t="s">
        <v>270</v>
      </c>
      <c r="Z30" s="69" t="s">
        <v>270</v>
      </c>
    </row>
    <row r="31" spans="1:28" x14ac:dyDescent="0.25">
      <c r="A31" s="67"/>
      <c r="B31" s="67"/>
      <c r="C31" s="67"/>
      <c r="D31" s="68"/>
      <c r="E31" s="68"/>
      <c r="F31" s="69"/>
      <c r="G31" s="69"/>
      <c r="H31" s="181"/>
      <c r="I31" s="69"/>
      <c r="J31" s="181"/>
      <c r="K31" s="68"/>
      <c r="L31" s="181"/>
      <c r="M31" s="181"/>
      <c r="N31" s="69"/>
      <c r="O31" s="69"/>
      <c r="P31" s="69"/>
      <c r="Q31" s="181"/>
      <c r="R31" s="69"/>
      <c r="S31" s="69"/>
      <c r="T31" s="68"/>
      <c r="U31" s="69"/>
      <c r="V31" s="69"/>
      <c r="W31" s="69"/>
      <c r="X31" s="69"/>
      <c r="Y31" s="69"/>
      <c r="Z31" s="69"/>
    </row>
    <row r="32" spans="1:28" x14ac:dyDescent="0.25">
      <c r="A32" s="79" t="s">
        <v>286</v>
      </c>
      <c r="B32" s="67">
        <v>160</v>
      </c>
      <c r="C32" s="67"/>
      <c r="D32" s="68">
        <f>T32</f>
        <v>0</v>
      </c>
      <c r="E32" s="68" t="s">
        <v>270</v>
      </c>
      <c r="F32" s="69" t="s">
        <v>270</v>
      </c>
      <c r="G32" s="69" t="s">
        <v>270</v>
      </c>
      <c r="H32" s="181" t="s">
        <v>270</v>
      </c>
      <c r="I32" s="69" t="s">
        <v>270</v>
      </c>
      <c r="J32" s="181" t="s">
        <v>270</v>
      </c>
      <c r="K32" s="68" t="s">
        <v>270</v>
      </c>
      <c r="L32" s="181" t="s">
        <v>270</v>
      </c>
      <c r="M32" s="181" t="s">
        <v>270</v>
      </c>
      <c r="N32" s="69" t="s">
        <v>270</v>
      </c>
      <c r="O32" s="69" t="s">
        <v>270</v>
      </c>
      <c r="P32" s="69" t="s">
        <v>270</v>
      </c>
      <c r="Q32" s="181" t="s">
        <v>270</v>
      </c>
      <c r="R32" s="69" t="s">
        <v>270</v>
      </c>
      <c r="S32" s="69" t="s">
        <v>270</v>
      </c>
      <c r="T32" s="68">
        <f>SUM(U32:Z32)</f>
        <v>0</v>
      </c>
      <c r="U32" s="69"/>
      <c r="V32" s="69"/>
      <c r="W32" s="69"/>
      <c r="X32" s="69"/>
      <c r="Y32" s="69">
        <f>Y34</f>
        <v>0</v>
      </c>
      <c r="Z32" s="69" t="s">
        <v>270</v>
      </c>
    </row>
    <row r="33" spans="1:26" x14ac:dyDescent="0.25">
      <c r="A33" s="67" t="s">
        <v>187</v>
      </c>
      <c r="B33" s="67"/>
      <c r="C33" s="67"/>
      <c r="D33" s="68"/>
      <c r="E33" s="68"/>
      <c r="F33" s="69"/>
      <c r="G33" s="69"/>
      <c r="H33" s="181"/>
      <c r="I33" s="69"/>
      <c r="J33" s="181"/>
      <c r="K33" s="68"/>
      <c r="L33" s="181"/>
      <c r="M33" s="181"/>
      <c r="N33" s="69"/>
      <c r="O33" s="69"/>
      <c r="P33" s="69"/>
      <c r="Q33" s="181"/>
      <c r="R33" s="69"/>
      <c r="S33" s="69"/>
      <c r="T33" s="68"/>
      <c r="U33" s="69"/>
      <c r="V33" s="69"/>
      <c r="W33" s="69"/>
      <c r="X33" s="69"/>
      <c r="Y33" s="69"/>
      <c r="Z33" s="69"/>
    </row>
    <row r="34" spans="1:26" ht="38.25" x14ac:dyDescent="0.25">
      <c r="A34" s="67" t="s">
        <v>610</v>
      </c>
      <c r="B34" s="67">
        <v>160.1</v>
      </c>
      <c r="C34" s="67">
        <v>180</v>
      </c>
      <c r="D34" s="68">
        <f t="shared" ref="D34:D39" si="1">E34+K34+S34+T34</f>
        <v>0</v>
      </c>
      <c r="E34" s="68"/>
      <c r="F34" s="69"/>
      <c r="G34" s="69"/>
      <c r="H34" s="181"/>
      <c r="I34" s="69"/>
      <c r="J34" s="181"/>
      <c r="K34" s="68"/>
      <c r="L34" s="181"/>
      <c r="M34" s="181"/>
      <c r="N34" s="69"/>
      <c r="O34" s="69"/>
      <c r="P34" s="69"/>
      <c r="Q34" s="181"/>
      <c r="R34" s="69"/>
      <c r="S34" s="69"/>
      <c r="T34" s="68">
        <f>SUM(U34:Z34)</f>
        <v>0</v>
      </c>
      <c r="U34" s="69"/>
      <c r="V34" s="69"/>
      <c r="W34" s="69"/>
      <c r="X34" s="69"/>
      <c r="Y34" s="69"/>
      <c r="Z34" s="69"/>
    </row>
    <row r="35" spans="1:26" ht="25.5" hidden="1" x14ac:dyDescent="0.25">
      <c r="A35" s="67" t="s">
        <v>611</v>
      </c>
      <c r="B35" s="67">
        <v>160.19999999999999</v>
      </c>
      <c r="C35" s="67">
        <v>180</v>
      </c>
      <c r="D35" s="68">
        <f t="shared" si="1"/>
        <v>0</v>
      </c>
      <c r="E35" s="68"/>
      <c r="F35" s="69"/>
      <c r="G35" s="69"/>
      <c r="H35" s="181"/>
      <c r="I35" s="69"/>
      <c r="J35" s="181"/>
      <c r="K35" s="68"/>
      <c r="L35" s="181"/>
      <c r="M35" s="181"/>
      <c r="N35" s="69"/>
      <c r="O35" s="69"/>
      <c r="P35" s="69"/>
      <c r="Q35" s="181"/>
      <c r="R35" s="69"/>
      <c r="S35" s="69"/>
      <c r="T35" s="68">
        <f>SUM(U35:Z35)</f>
        <v>0</v>
      </c>
      <c r="U35" s="69"/>
      <c r="V35" s="69"/>
      <c r="W35" s="69"/>
      <c r="X35" s="69"/>
      <c r="Y35" s="69"/>
      <c r="Z35" s="69"/>
    </row>
    <row r="36" spans="1:26" hidden="1" x14ac:dyDescent="0.25">
      <c r="A36" s="67" t="s">
        <v>287</v>
      </c>
      <c r="B36" s="67" t="s">
        <v>288</v>
      </c>
      <c r="C36" s="67"/>
      <c r="D36" s="68">
        <f t="shared" si="1"/>
        <v>0</v>
      </c>
      <c r="E36" s="68"/>
      <c r="F36" s="69"/>
      <c r="G36" s="69"/>
      <c r="H36" s="181"/>
      <c r="I36" s="69"/>
      <c r="J36" s="181"/>
      <c r="K36" s="68"/>
      <c r="L36" s="181"/>
      <c r="M36" s="181"/>
      <c r="N36" s="69"/>
      <c r="O36" s="69"/>
      <c r="P36" s="69"/>
      <c r="Q36" s="181"/>
      <c r="R36" s="69"/>
      <c r="S36" s="69"/>
      <c r="T36" s="68"/>
      <c r="U36" s="69"/>
      <c r="V36" s="69"/>
      <c r="W36" s="69"/>
      <c r="X36" s="69"/>
      <c r="Y36" s="69"/>
      <c r="Z36" s="69"/>
    </row>
    <row r="37" spans="1:26" hidden="1" x14ac:dyDescent="0.25">
      <c r="A37" s="67"/>
      <c r="B37" s="67"/>
      <c r="C37" s="67"/>
      <c r="D37" s="68">
        <f t="shared" si="1"/>
        <v>0</v>
      </c>
      <c r="E37" s="68"/>
      <c r="F37" s="69"/>
      <c r="G37" s="69"/>
      <c r="H37" s="181"/>
      <c r="I37" s="69"/>
      <c r="J37" s="181"/>
      <c r="K37" s="68"/>
      <c r="L37" s="181"/>
      <c r="M37" s="181"/>
      <c r="N37" s="69"/>
      <c r="O37" s="69"/>
      <c r="P37" s="69"/>
      <c r="Q37" s="181"/>
      <c r="R37" s="69"/>
      <c r="S37" s="69"/>
      <c r="T37" s="68"/>
      <c r="U37" s="69"/>
      <c r="V37" s="69"/>
      <c r="W37" s="69"/>
      <c r="X37" s="69"/>
      <c r="Y37" s="69"/>
      <c r="Z37" s="69"/>
    </row>
    <row r="38" spans="1:26" hidden="1" x14ac:dyDescent="0.25">
      <c r="A38" s="67"/>
      <c r="B38" s="67"/>
      <c r="C38" s="67"/>
      <c r="D38" s="68">
        <f t="shared" si="1"/>
        <v>0</v>
      </c>
      <c r="E38" s="68"/>
      <c r="F38" s="69"/>
      <c r="G38" s="69"/>
      <c r="H38" s="181"/>
      <c r="I38" s="69"/>
      <c r="J38" s="181"/>
      <c r="K38" s="68"/>
      <c r="L38" s="181"/>
      <c r="M38" s="181"/>
      <c r="N38" s="69"/>
      <c r="O38" s="69"/>
      <c r="P38" s="69"/>
      <c r="Q38" s="181"/>
      <c r="R38" s="69"/>
      <c r="S38" s="69"/>
      <c r="T38" s="68"/>
      <c r="U38" s="69"/>
      <c r="V38" s="69"/>
      <c r="W38" s="69"/>
      <c r="X38" s="69"/>
      <c r="Y38" s="69"/>
      <c r="Z38" s="69"/>
    </row>
    <row r="39" spans="1:26" ht="25.5" hidden="1" x14ac:dyDescent="0.25">
      <c r="A39" s="67" t="s">
        <v>289</v>
      </c>
      <c r="B39" s="67">
        <v>180</v>
      </c>
      <c r="C39" s="67" t="s">
        <v>270</v>
      </c>
      <c r="D39" s="68">
        <f t="shared" si="1"/>
        <v>0</v>
      </c>
      <c r="E39" s="68"/>
      <c r="F39" s="69"/>
      <c r="G39" s="69"/>
      <c r="H39" s="181"/>
      <c r="I39" s="69"/>
      <c r="J39" s="181"/>
      <c r="K39" s="68"/>
      <c r="L39" s="181"/>
      <c r="M39" s="181"/>
      <c r="N39" s="69"/>
      <c r="O39" s="69"/>
      <c r="P39" s="69"/>
      <c r="Q39" s="181"/>
      <c r="R39" s="69"/>
      <c r="S39" s="69"/>
      <c r="T39" s="68">
        <f>SUM(U39:Z39)</f>
        <v>0</v>
      </c>
      <c r="U39" s="69"/>
      <c r="V39" s="69"/>
      <c r="W39" s="69"/>
      <c r="X39" s="69"/>
      <c r="Y39" s="69"/>
      <c r="Z39" s="69"/>
    </row>
    <row r="40" spans="1:26" hidden="1" x14ac:dyDescent="0.25">
      <c r="A40" s="67" t="s">
        <v>187</v>
      </c>
      <c r="B40" s="67"/>
      <c r="C40" s="67"/>
      <c r="D40" s="68"/>
      <c r="E40" s="68"/>
      <c r="F40" s="69"/>
      <c r="G40" s="69"/>
      <c r="H40" s="181"/>
      <c r="I40" s="69"/>
      <c r="J40" s="181"/>
      <c r="K40" s="68"/>
      <c r="L40" s="181"/>
      <c r="M40" s="181"/>
      <c r="N40" s="69"/>
      <c r="O40" s="69"/>
      <c r="P40" s="69"/>
      <c r="Q40" s="181"/>
      <c r="R40" s="69"/>
      <c r="S40" s="69"/>
      <c r="T40" s="68"/>
      <c r="U40" s="69"/>
      <c r="V40" s="69"/>
      <c r="W40" s="69"/>
      <c r="X40" s="69"/>
      <c r="Y40" s="69"/>
      <c r="Z40" s="69"/>
    </row>
    <row r="41" spans="1:26" ht="25.5" hidden="1" x14ac:dyDescent="0.25">
      <c r="A41" s="67" t="s">
        <v>290</v>
      </c>
      <c r="B41" s="67">
        <v>181</v>
      </c>
      <c r="C41" s="67">
        <v>400</v>
      </c>
      <c r="D41" s="68">
        <f>T41</f>
        <v>0</v>
      </c>
      <c r="E41" s="68" t="s">
        <v>270</v>
      </c>
      <c r="F41" s="69" t="s">
        <v>270</v>
      </c>
      <c r="G41" s="69" t="s">
        <v>270</v>
      </c>
      <c r="H41" s="181" t="s">
        <v>270</v>
      </c>
      <c r="I41" s="69" t="s">
        <v>270</v>
      </c>
      <c r="J41" s="181" t="s">
        <v>270</v>
      </c>
      <c r="K41" s="68" t="s">
        <v>270</v>
      </c>
      <c r="L41" s="181" t="s">
        <v>270</v>
      </c>
      <c r="M41" s="181" t="s">
        <v>270</v>
      </c>
      <c r="N41" s="69" t="s">
        <v>270</v>
      </c>
      <c r="O41" s="69" t="s">
        <v>270</v>
      </c>
      <c r="P41" s="69" t="s">
        <v>270</v>
      </c>
      <c r="Q41" s="181" t="s">
        <v>270</v>
      </c>
      <c r="R41" s="69" t="s">
        <v>270</v>
      </c>
      <c r="S41" s="69" t="s">
        <v>270</v>
      </c>
      <c r="T41" s="68">
        <f>SUM(U41:Z41)</f>
        <v>0</v>
      </c>
      <c r="U41" s="69"/>
      <c r="V41" s="69"/>
      <c r="W41" s="69"/>
      <c r="X41" s="69"/>
      <c r="Y41" s="69"/>
      <c r="Z41" s="69" t="s">
        <v>270</v>
      </c>
    </row>
    <row r="42" spans="1:26" hidden="1" x14ac:dyDescent="0.25">
      <c r="A42" s="67" t="s">
        <v>185</v>
      </c>
      <c r="B42" s="67"/>
      <c r="C42" s="67"/>
      <c r="D42" s="68"/>
      <c r="E42" s="68"/>
      <c r="F42" s="69"/>
      <c r="G42" s="69"/>
      <c r="H42" s="181"/>
      <c r="I42" s="69"/>
      <c r="J42" s="181"/>
      <c r="K42" s="68"/>
      <c r="L42" s="181"/>
      <c r="M42" s="181"/>
      <c r="N42" s="69"/>
      <c r="O42" s="69"/>
      <c r="P42" s="69"/>
      <c r="Q42" s="181"/>
      <c r="R42" s="69"/>
      <c r="S42" s="69"/>
      <c r="T42" s="68"/>
      <c r="U42" s="69"/>
      <c r="V42" s="69"/>
      <c r="W42" s="69"/>
      <c r="X42" s="69"/>
      <c r="Y42" s="69"/>
      <c r="Z42" s="69"/>
    </row>
    <row r="43" spans="1:26" ht="25.5" hidden="1" x14ac:dyDescent="0.25">
      <c r="A43" s="67" t="s">
        <v>291</v>
      </c>
      <c r="B43" s="67">
        <v>181.1</v>
      </c>
      <c r="C43" s="67">
        <v>410</v>
      </c>
      <c r="D43" s="68">
        <f>T43</f>
        <v>0</v>
      </c>
      <c r="E43" s="68" t="s">
        <v>270</v>
      </c>
      <c r="F43" s="69" t="s">
        <v>270</v>
      </c>
      <c r="G43" s="69" t="s">
        <v>270</v>
      </c>
      <c r="H43" s="181" t="s">
        <v>270</v>
      </c>
      <c r="I43" s="69" t="s">
        <v>270</v>
      </c>
      <c r="J43" s="181" t="s">
        <v>270</v>
      </c>
      <c r="K43" s="68" t="s">
        <v>270</v>
      </c>
      <c r="L43" s="181" t="s">
        <v>270</v>
      </c>
      <c r="M43" s="181" t="s">
        <v>270</v>
      </c>
      <c r="N43" s="69" t="s">
        <v>270</v>
      </c>
      <c r="O43" s="69" t="s">
        <v>270</v>
      </c>
      <c r="P43" s="69" t="s">
        <v>270</v>
      </c>
      <c r="Q43" s="181" t="s">
        <v>270</v>
      </c>
      <c r="R43" s="69" t="s">
        <v>270</v>
      </c>
      <c r="S43" s="69" t="s">
        <v>270</v>
      </c>
      <c r="T43" s="68">
        <f>SUM(U43:Z43)</f>
        <v>0</v>
      </c>
      <c r="U43" s="69"/>
      <c r="V43" s="69"/>
      <c r="W43" s="69"/>
      <c r="X43" s="69"/>
      <c r="Y43" s="69"/>
      <c r="Z43" s="69" t="s">
        <v>270</v>
      </c>
    </row>
    <row r="44" spans="1:26" ht="25.5" hidden="1" x14ac:dyDescent="0.25">
      <c r="A44" s="67" t="s">
        <v>292</v>
      </c>
      <c r="B44" s="67">
        <v>181.2</v>
      </c>
      <c r="C44" s="67">
        <v>420</v>
      </c>
      <c r="D44" s="68">
        <f>T44</f>
        <v>0</v>
      </c>
      <c r="E44" s="68" t="s">
        <v>270</v>
      </c>
      <c r="F44" s="69" t="s">
        <v>270</v>
      </c>
      <c r="G44" s="69" t="s">
        <v>270</v>
      </c>
      <c r="H44" s="181" t="s">
        <v>270</v>
      </c>
      <c r="I44" s="69" t="s">
        <v>270</v>
      </c>
      <c r="J44" s="181" t="s">
        <v>270</v>
      </c>
      <c r="K44" s="68" t="s">
        <v>270</v>
      </c>
      <c r="L44" s="181" t="s">
        <v>270</v>
      </c>
      <c r="M44" s="181" t="s">
        <v>270</v>
      </c>
      <c r="N44" s="69" t="s">
        <v>270</v>
      </c>
      <c r="O44" s="69" t="s">
        <v>270</v>
      </c>
      <c r="P44" s="69" t="s">
        <v>270</v>
      </c>
      <c r="Q44" s="181" t="s">
        <v>270</v>
      </c>
      <c r="R44" s="69" t="s">
        <v>270</v>
      </c>
      <c r="S44" s="69" t="s">
        <v>270</v>
      </c>
      <c r="T44" s="68">
        <f>SUM(U44:Z44)</f>
        <v>0</v>
      </c>
      <c r="U44" s="69"/>
      <c r="V44" s="69"/>
      <c r="W44" s="69"/>
      <c r="X44" s="69"/>
      <c r="Y44" s="69"/>
      <c r="Z44" s="69" t="s">
        <v>270</v>
      </c>
    </row>
    <row r="45" spans="1:26" ht="25.5" hidden="1" x14ac:dyDescent="0.25">
      <c r="A45" s="67" t="s">
        <v>293</v>
      </c>
      <c r="B45" s="67">
        <v>181.3</v>
      </c>
      <c r="C45" s="67">
        <v>430</v>
      </c>
      <c r="D45" s="68">
        <f>E45+K45+S45+T45</f>
        <v>0</v>
      </c>
      <c r="E45" s="68"/>
      <c r="F45" s="69"/>
      <c r="G45" s="69"/>
      <c r="H45" s="181"/>
      <c r="I45" s="69"/>
      <c r="J45" s="181"/>
      <c r="K45" s="68"/>
      <c r="L45" s="181"/>
      <c r="M45" s="181"/>
      <c r="N45" s="69"/>
      <c r="O45" s="69"/>
      <c r="P45" s="69"/>
      <c r="Q45" s="181"/>
      <c r="R45" s="69"/>
      <c r="S45" s="69"/>
      <c r="T45" s="68">
        <f>SUM(U45:Z45)</f>
        <v>0</v>
      </c>
      <c r="U45" s="69"/>
      <c r="V45" s="69"/>
      <c r="W45" s="69"/>
      <c r="X45" s="69"/>
      <c r="Y45" s="69"/>
      <c r="Z45" s="69"/>
    </row>
    <row r="46" spans="1:26" ht="25.5" hidden="1" x14ac:dyDescent="0.25">
      <c r="A46" s="67" t="s">
        <v>294</v>
      </c>
      <c r="B46" s="67">
        <v>181.4</v>
      </c>
      <c r="C46" s="67">
        <v>440</v>
      </c>
      <c r="D46" s="68">
        <f>E46+K46+S46+T46</f>
        <v>0</v>
      </c>
      <c r="E46" s="68"/>
      <c r="F46" s="69"/>
      <c r="G46" s="69"/>
      <c r="H46" s="181"/>
      <c r="I46" s="69"/>
      <c r="J46" s="181"/>
      <c r="K46" s="68"/>
      <c r="L46" s="181"/>
      <c r="M46" s="181"/>
      <c r="N46" s="69"/>
      <c r="O46" s="69"/>
      <c r="P46" s="69"/>
      <c r="Q46" s="181"/>
      <c r="R46" s="69"/>
      <c r="S46" s="69"/>
      <c r="T46" s="68">
        <f>SUM(U46:Z46)</f>
        <v>0</v>
      </c>
      <c r="U46" s="69"/>
      <c r="V46" s="69"/>
      <c r="W46" s="69"/>
      <c r="X46" s="69"/>
      <c r="Y46" s="69"/>
      <c r="Z46" s="69"/>
    </row>
    <row r="47" spans="1:26" ht="25.5" hidden="1" x14ac:dyDescent="0.25">
      <c r="A47" s="67" t="s">
        <v>295</v>
      </c>
      <c r="B47" s="67">
        <v>182</v>
      </c>
      <c r="C47" s="67">
        <v>600</v>
      </c>
      <c r="D47" s="68">
        <f>E47+K47+S47+T47</f>
        <v>0</v>
      </c>
      <c r="E47" s="68"/>
      <c r="F47" s="69"/>
      <c r="G47" s="69"/>
      <c r="H47" s="181"/>
      <c r="I47" s="69"/>
      <c r="J47" s="181"/>
      <c r="K47" s="68"/>
      <c r="L47" s="181"/>
      <c r="M47" s="181"/>
      <c r="N47" s="69"/>
      <c r="O47" s="69"/>
      <c r="P47" s="69"/>
      <c r="Q47" s="181"/>
      <c r="R47" s="69"/>
      <c r="S47" s="69"/>
      <c r="T47" s="68">
        <f>SUM(U47:Z47)</f>
        <v>0</v>
      </c>
      <c r="U47" s="69"/>
      <c r="V47" s="69"/>
      <c r="W47" s="69"/>
      <c r="X47" s="69"/>
      <c r="Y47" s="69"/>
      <c r="Z47" s="69"/>
    </row>
    <row r="48" spans="1:26" hidden="1" x14ac:dyDescent="0.25">
      <c r="A48" s="67" t="s">
        <v>185</v>
      </c>
      <c r="B48" s="67"/>
      <c r="C48" s="67"/>
      <c r="D48" s="68"/>
      <c r="E48" s="68"/>
      <c r="F48" s="69"/>
      <c r="G48" s="69"/>
      <c r="H48" s="181"/>
      <c r="I48" s="69"/>
      <c r="J48" s="181"/>
      <c r="K48" s="68"/>
      <c r="L48" s="181"/>
      <c r="M48" s="181"/>
      <c r="N48" s="69"/>
      <c r="O48" s="69"/>
      <c r="P48" s="69"/>
      <c r="Q48" s="181"/>
      <c r="R48" s="69"/>
      <c r="S48" s="69"/>
      <c r="T48" s="68"/>
      <c r="U48" s="69"/>
      <c r="V48" s="69"/>
      <c r="W48" s="69"/>
      <c r="X48" s="69"/>
      <c r="Y48" s="69"/>
      <c r="Z48" s="69"/>
    </row>
    <row r="49" spans="1:27" hidden="1" x14ac:dyDescent="0.25">
      <c r="A49" s="67" t="s">
        <v>296</v>
      </c>
      <c r="B49" s="67"/>
      <c r="C49" s="67"/>
      <c r="D49" s="68">
        <f>E49+K49+S49+T49</f>
        <v>0</v>
      </c>
      <c r="E49" s="68"/>
      <c r="F49" s="69"/>
      <c r="G49" s="69"/>
      <c r="H49" s="181"/>
      <c r="I49" s="69"/>
      <c r="J49" s="181"/>
      <c r="K49" s="68"/>
      <c r="L49" s="181"/>
      <c r="M49" s="181"/>
      <c r="N49" s="69"/>
      <c r="O49" s="69"/>
      <c r="P49" s="69"/>
      <c r="Q49" s="181"/>
      <c r="R49" s="69"/>
      <c r="S49" s="69"/>
      <c r="T49" s="68">
        <f>SUM(U49:Z49)</f>
        <v>0</v>
      </c>
      <c r="U49" s="69"/>
      <c r="V49" s="69"/>
      <c r="W49" s="69"/>
      <c r="X49" s="69"/>
      <c r="Y49" s="69"/>
      <c r="Z49" s="69"/>
    </row>
    <row r="50" spans="1:27" ht="15.75" x14ac:dyDescent="0.25">
      <c r="A50" s="67"/>
      <c r="B50" s="67"/>
      <c r="C50" s="80"/>
      <c r="D50" s="81">
        <f>E50+K50+S50+T50</f>
        <v>0</v>
      </c>
      <c r="E50" s="81">
        <f t="shared" ref="E50:J50" si="2">E10+E143-E144-E51</f>
        <v>0</v>
      </c>
      <c r="F50" s="81">
        <f t="shared" si="2"/>
        <v>0</v>
      </c>
      <c r="G50" s="81">
        <f t="shared" si="2"/>
        <v>0</v>
      </c>
      <c r="H50" s="182">
        <f t="shared" si="2"/>
        <v>0</v>
      </c>
      <c r="I50" s="81">
        <f t="shared" si="2"/>
        <v>0</v>
      </c>
      <c r="J50" s="182">
        <f t="shared" si="2"/>
        <v>0</v>
      </c>
      <c r="K50" s="81">
        <f>K10+K143-K143-K51</f>
        <v>0</v>
      </c>
      <c r="L50" s="182">
        <f t="shared" ref="L50:Q50" si="3">L10+L143-L143-L51</f>
        <v>0</v>
      </c>
      <c r="M50" s="182">
        <f t="shared" si="3"/>
        <v>0</v>
      </c>
      <c r="N50" s="81">
        <f t="shared" si="3"/>
        <v>0</v>
      </c>
      <c r="O50" s="81">
        <f t="shared" si="3"/>
        <v>0</v>
      </c>
      <c r="P50" s="81">
        <f t="shared" si="3"/>
        <v>0</v>
      </c>
      <c r="Q50" s="182">
        <f t="shared" si="3"/>
        <v>0</v>
      </c>
      <c r="R50" s="81">
        <f>R10+R143-R143-R51</f>
        <v>0</v>
      </c>
      <c r="S50" s="81">
        <f t="shared" ref="S50:Z50" si="4">S10+S143-S144-S51</f>
        <v>0</v>
      </c>
      <c r="T50" s="81">
        <f t="shared" si="4"/>
        <v>0</v>
      </c>
      <c r="U50" s="81">
        <f t="shared" si="4"/>
        <v>0</v>
      </c>
      <c r="V50" s="81">
        <f t="shared" si="4"/>
        <v>0</v>
      </c>
      <c r="W50" s="81">
        <f t="shared" si="4"/>
        <v>0</v>
      </c>
      <c r="X50" s="81">
        <f t="shared" si="4"/>
        <v>0</v>
      </c>
      <c r="Y50" s="81">
        <f t="shared" si="4"/>
        <v>0</v>
      </c>
      <c r="Z50" s="81">
        <f t="shared" si="4"/>
        <v>0</v>
      </c>
      <c r="AA50" s="82" t="s">
        <v>666</v>
      </c>
    </row>
    <row r="51" spans="1:27" x14ac:dyDescent="0.25">
      <c r="A51" s="67" t="s">
        <v>297</v>
      </c>
      <c r="B51" s="67">
        <v>200</v>
      </c>
      <c r="C51" s="67" t="s">
        <v>298</v>
      </c>
      <c r="D51" s="68">
        <f>E51+K51+S51+T51</f>
        <v>36647200</v>
      </c>
      <c r="E51" s="68">
        <f>SUM(F51:J51)</f>
        <v>34008900</v>
      </c>
      <c r="F51" s="68">
        <f>F53+F68+F78+F90+F92+F94</f>
        <v>0</v>
      </c>
      <c r="G51" s="68">
        <f>G53+G68+G78+G90+G92+G94</f>
        <v>0</v>
      </c>
      <c r="H51" s="180">
        <f>H53+H68+H78+H90+H92+H94</f>
        <v>33878500</v>
      </c>
      <c r="I51" s="68">
        <f>I53+I68+I78+I90+I92+I94</f>
        <v>0</v>
      </c>
      <c r="J51" s="180">
        <f>J53+J68+J78+J90+J92+J94</f>
        <v>130400</v>
      </c>
      <c r="K51" s="68">
        <f>SUM(L51:R51)</f>
        <v>2638300</v>
      </c>
      <c r="L51" s="180">
        <f t="shared" ref="L51:Q51" si="5">L53+L68+L78+L90+L92+L94</f>
        <v>517600</v>
      </c>
      <c r="M51" s="180">
        <f t="shared" si="5"/>
        <v>4600</v>
      </c>
      <c r="N51" s="68">
        <f t="shared" si="5"/>
        <v>0</v>
      </c>
      <c r="O51" s="68">
        <f t="shared" si="5"/>
        <v>0</v>
      </c>
      <c r="P51" s="68">
        <f t="shared" si="5"/>
        <v>0</v>
      </c>
      <c r="Q51" s="180">
        <f t="shared" si="5"/>
        <v>2116100</v>
      </c>
      <c r="R51" s="68">
        <f>R53+R68+R78+R90+R92+R94</f>
        <v>0</v>
      </c>
      <c r="S51" s="68">
        <f>S53+S68+S78+S90+S92+S94</f>
        <v>0</v>
      </c>
      <c r="T51" s="68">
        <f>SUM(U51:Z51)</f>
        <v>0</v>
      </c>
      <c r="U51" s="68">
        <f t="shared" ref="U51:Z51" si="6">U53+U68+U78+U90+U92+U94</f>
        <v>0</v>
      </c>
      <c r="V51" s="68">
        <f t="shared" si="6"/>
        <v>0</v>
      </c>
      <c r="W51" s="68">
        <f t="shared" si="6"/>
        <v>0</v>
      </c>
      <c r="X51" s="68">
        <f t="shared" si="6"/>
        <v>0</v>
      </c>
      <c r="Y51" s="68">
        <f t="shared" si="6"/>
        <v>0</v>
      </c>
      <c r="Z51" s="68">
        <f t="shared" si="6"/>
        <v>0</v>
      </c>
    </row>
    <row r="52" spans="1:27" x14ac:dyDescent="0.25">
      <c r="A52" s="67" t="s">
        <v>299</v>
      </c>
      <c r="B52" s="67"/>
      <c r="C52" s="67"/>
      <c r="D52" s="68"/>
      <c r="E52" s="68"/>
      <c r="F52" s="69"/>
      <c r="G52" s="69"/>
      <c r="H52" s="181"/>
      <c r="I52" s="69"/>
      <c r="J52" s="181"/>
      <c r="K52" s="68"/>
      <c r="L52" s="181"/>
      <c r="M52" s="181"/>
      <c r="N52" s="69"/>
      <c r="O52" s="69"/>
      <c r="P52" s="69"/>
      <c r="Q52" s="181"/>
      <c r="R52" s="69"/>
      <c r="S52" s="69"/>
      <c r="T52" s="68"/>
      <c r="U52" s="69"/>
      <c r="V52" s="69"/>
      <c r="W52" s="69"/>
      <c r="X52" s="69"/>
      <c r="Y52" s="69"/>
      <c r="Z52" s="69"/>
    </row>
    <row r="53" spans="1:27" ht="38.25" x14ac:dyDescent="0.25">
      <c r="A53" s="67" t="s">
        <v>631</v>
      </c>
      <c r="B53" s="67">
        <v>210</v>
      </c>
      <c r="C53" s="67">
        <v>100</v>
      </c>
      <c r="D53" s="68">
        <f>E53+K53+S53+T53</f>
        <v>34382400</v>
      </c>
      <c r="E53" s="68">
        <f>SUM(F53:J53)</f>
        <v>32691100</v>
      </c>
      <c r="F53" s="68">
        <f>F55</f>
        <v>0</v>
      </c>
      <c r="G53" s="68">
        <f>G55</f>
        <v>0</v>
      </c>
      <c r="H53" s="180">
        <f>H55</f>
        <v>32691100</v>
      </c>
      <c r="I53" s="68">
        <f>I55</f>
        <v>0</v>
      </c>
      <c r="J53" s="180">
        <f>J55</f>
        <v>0</v>
      </c>
      <c r="K53" s="68">
        <f>SUM(L53:R53)</f>
        <v>1691300</v>
      </c>
      <c r="L53" s="180">
        <f t="shared" ref="L53:Q53" si="7">L55</f>
        <v>517600</v>
      </c>
      <c r="M53" s="180">
        <f t="shared" si="7"/>
        <v>0</v>
      </c>
      <c r="N53" s="68">
        <f t="shared" si="7"/>
        <v>0</v>
      </c>
      <c r="O53" s="68">
        <f t="shared" si="7"/>
        <v>0</v>
      </c>
      <c r="P53" s="68">
        <f t="shared" si="7"/>
        <v>0</v>
      </c>
      <c r="Q53" s="180">
        <f t="shared" si="7"/>
        <v>1173700</v>
      </c>
      <c r="R53" s="68">
        <f>R55</f>
        <v>0</v>
      </c>
      <c r="S53" s="68">
        <f>S55</f>
        <v>0</v>
      </c>
      <c r="T53" s="68">
        <f>SUM(U53:Z53)</f>
        <v>0</v>
      </c>
      <c r="U53" s="68">
        <f t="shared" ref="U53:Z53" si="8">U55</f>
        <v>0</v>
      </c>
      <c r="V53" s="68">
        <f t="shared" si="8"/>
        <v>0</v>
      </c>
      <c r="W53" s="68">
        <f t="shared" si="8"/>
        <v>0</v>
      </c>
      <c r="X53" s="68">
        <f t="shared" si="8"/>
        <v>0</v>
      </c>
      <c r="Y53" s="68">
        <f t="shared" si="8"/>
        <v>0</v>
      </c>
      <c r="Z53" s="68">
        <f t="shared" si="8"/>
        <v>0</v>
      </c>
    </row>
    <row r="54" spans="1:27" x14ac:dyDescent="0.25">
      <c r="A54" s="67" t="s">
        <v>185</v>
      </c>
      <c r="B54" s="67"/>
      <c r="C54" s="67"/>
      <c r="D54" s="68"/>
      <c r="E54" s="68"/>
      <c r="F54" s="69"/>
      <c r="G54" s="69"/>
      <c r="H54" s="181"/>
      <c r="I54" s="69"/>
      <c r="J54" s="181"/>
      <c r="K54" s="68"/>
      <c r="L54" s="181"/>
      <c r="M54" s="181"/>
      <c r="N54" s="69"/>
      <c r="O54" s="69"/>
      <c r="P54" s="69"/>
      <c r="Q54" s="181"/>
      <c r="R54" s="69"/>
      <c r="S54" s="69"/>
      <c r="T54" s="68"/>
      <c r="U54" s="69"/>
      <c r="V54" s="69"/>
      <c r="W54" s="69"/>
      <c r="X54" s="69"/>
      <c r="Y54" s="69"/>
      <c r="Z54" s="69"/>
    </row>
    <row r="55" spans="1:27" x14ac:dyDescent="0.25">
      <c r="A55" s="67" t="s">
        <v>300</v>
      </c>
      <c r="B55" s="67">
        <v>211</v>
      </c>
      <c r="C55" s="67">
        <v>110</v>
      </c>
      <c r="D55" s="68">
        <f>E55+K55+S55+T55</f>
        <v>34382400</v>
      </c>
      <c r="E55" s="68">
        <f>SUM(F55:J55)</f>
        <v>32691100</v>
      </c>
      <c r="F55" s="68">
        <f>SUM(F57:F67)</f>
        <v>0</v>
      </c>
      <c r="G55" s="68">
        <f>SUM(G57:G67)</f>
        <v>0</v>
      </c>
      <c r="H55" s="180">
        <f>SUM(H57:H67)</f>
        <v>32691100</v>
      </c>
      <c r="I55" s="68">
        <f>SUM(I57:I67)</f>
        <v>0</v>
      </c>
      <c r="J55" s="180">
        <f>SUM(J57:J67)</f>
        <v>0</v>
      </c>
      <c r="K55" s="68">
        <f>SUM(L55:R55)</f>
        <v>1691300</v>
      </c>
      <c r="L55" s="180">
        <f t="shared" ref="L55:Q55" si="9">SUM(L57:L67)</f>
        <v>517600</v>
      </c>
      <c r="M55" s="180">
        <f t="shared" si="9"/>
        <v>0</v>
      </c>
      <c r="N55" s="68">
        <f t="shared" si="9"/>
        <v>0</v>
      </c>
      <c r="O55" s="68">
        <f t="shared" si="9"/>
        <v>0</v>
      </c>
      <c r="P55" s="68">
        <f t="shared" si="9"/>
        <v>0</v>
      </c>
      <c r="Q55" s="180">
        <f t="shared" si="9"/>
        <v>1173700</v>
      </c>
      <c r="R55" s="68">
        <f>SUM(R57:R67)</f>
        <v>0</v>
      </c>
      <c r="S55" s="68">
        <f>SUM(S57:S67)</f>
        <v>0</v>
      </c>
      <c r="T55" s="68">
        <f>SUM(U55:Z55)</f>
        <v>0</v>
      </c>
      <c r="U55" s="68">
        <f t="shared" ref="U55:Z55" si="10">SUM(U57:U67)</f>
        <v>0</v>
      </c>
      <c r="V55" s="68">
        <f t="shared" si="10"/>
        <v>0</v>
      </c>
      <c r="W55" s="68">
        <f t="shared" si="10"/>
        <v>0</v>
      </c>
      <c r="X55" s="68">
        <f t="shared" si="10"/>
        <v>0</v>
      </c>
      <c r="Y55" s="68">
        <f t="shared" si="10"/>
        <v>0</v>
      </c>
      <c r="Z55" s="68">
        <f t="shared" si="10"/>
        <v>0</v>
      </c>
    </row>
    <row r="56" spans="1:27" x14ac:dyDescent="0.25">
      <c r="A56" s="67" t="s">
        <v>185</v>
      </c>
      <c r="B56" s="67"/>
      <c r="C56" s="67"/>
      <c r="D56" s="68"/>
      <c r="E56" s="68"/>
      <c r="F56" s="69"/>
      <c r="G56" s="69"/>
      <c r="H56" s="181"/>
      <c r="I56" s="69"/>
      <c r="J56" s="181"/>
      <c r="K56" s="68"/>
      <c r="L56" s="181"/>
      <c r="M56" s="181"/>
      <c r="N56" s="69"/>
      <c r="O56" s="69"/>
      <c r="P56" s="69"/>
      <c r="Q56" s="181"/>
      <c r="R56" s="69"/>
      <c r="S56" s="69"/>
      <c r="T56" s="68"/>
      <c r="U56" s="69"/>
      <c r="V56" s="69"/>
      <c r="W56" s="69"/>
      <c r="X56" s="69"/>
      <c r="Y56" s="69"/>
      <c r="Z56" s="69"/>
    </row>
    <row r="57" spans="1:27" x14ac:dyDescent="0.25">
      <c r="A57" s="67" t="s">
        <v>301</v>
      </c>
      <c r="B57" s="67">
        <v>211.1</v>
      </c>
      <c r="C57" s="67" t="s">
        <v>574</v>
      </c>
      <c r="D57" s="68">
        <f t="shared" ref="D57:D68" si="11">E57+K57+S57+T57</f>
        <v>25108400</v>
      </c>
      <c r="E57" s="68">
        <f>SUM(F57:J57)</f>
        <v>25108400</v>
      </c>
      <c r="F57" s="69"/>
      <c r="G57" s="69"/>
      <c r="H57" s="181">
        <v>25108400</v>
      </c>
      <c r="I57" s="69"/>
      <c r="J57" s="181"/>
      <c r="K57" s="68">
        <f>SUM(L57:R57)</f>
        <v>0</v>
      </c>
      <c r="L57" s="181"/>
      <c r="M57" s="181"/>
      <c r="N57" s="69"/>
      <c r="O57" s="69"/>
      <c r="P57" s="69"/>
      <c r="Q57" s="181"/>
      <c r="R57" s="69"/>
      <c r="S57" s="69"/>
      <c r="T57" s="68">
        <f t="shared" ref="T57:T66" si="12">SUM(U57:Z57)</f>
        <v>0</v>
      </c>
      <c r="U57" s="69"/>
      <c r="V57" s="69"/>
      <c r="W57" s="69"/>
      <c r="X57" s="69"/>
      <c r="Y57" s="69"/>
      <c r="Z57" s="69"/>
    </row>
    <row r="58" spans="1:27" ht="25.5" x14ac:dyDescent="0.25">
      <c r="A58" s="67" t="s">
        <v>612</v>
      </c>
      <c r="B58" s="67">
        <v>211.2</v>
      </c>
      <c r="C58" s="67" t="s">
        <v>575</v>
      </c>
      <c r="D58" s="68">
        <f t="shared" si="11"/>
        <v>517600</v>
      </c>
      <c r="E58" s="68">
        <f>SUM(F58:J58)</f>
        <v>0</v>
      </c>
      <c r="F58" s="69"/>
      <c r="G58" s="69"/>
      <c r="H58" s="181"/>
      <c r="I58" s="69"/>
      <c r="J58" s="181"/>
      <c r="K58" s="68">
        <f>SUM(L58:R58)</f>
        <v>517600</v>
      </c>
      <c r="L58" s="181">
        <v>517600</v>
      </c>
      <c r="M58" s="181"/>
      <c r="N58" s="69"/>
      <c r="O58" s="69"/>
      <c r="P58" s="69"/>
      <c r="Q58" s="181"/>
      <c r="R58" s="69"/>
      <c r="S58" s="69"/>
      <c r="T58" s="68">
        <f t="shared" si="12"/>
        <v>0</v>
      </c>
      <c r="U58" s="69"/>
      <c r="V58" s="69"/>
      <c r="W58" s="69"/>
      <c r="X58" s="69"/>
      <c r="Y58" s="69"/>
      <c r="Z58" s="69"/>
    </row>
    <row r="59" spans="1:27" ht="25.5" hidden="1" x14ac:dyDescent="0.25">
      <c r="A59" s="67" t="s">
        <v>302</v>
      </c>
      <c r="B59" s="67">
        <v>211.3</v>
      </c>
      <c r="C59" s="67" t="s">
        <v>303</v>
      </c>
      <c r="D59" s="68">
        <f t="shared" si="11"/>
        <v>0</v>
      </c>
      <c r="E59" s="68">
        <f>SUM(F59:J59)</f>
        <v>0</v>
      </c>
      <c r="F59" s="69"/>
      <c r="G59" s="69"/>
      <c r="H59" s="181"/>
      <c r="I59" s="69"/>
      <c r="J59" s="181"/>
      <c r="K59" s="68">
        <f>SUM(L59:R59)</f>
        <v>0</v>
      </c>
      <c r="L59" s="181"/>
      <c r="M59" s="181"/>
      <c r="N59" s="69"/>
      <c r="O59" s="69"/>
      <c r="P59" s="69"/>
      <c r="Q59" s="181"/>
      <c r="R59" s="69"/>
      <c r="S59" s="69"/>
      <c r="T59" s="68">
        <f t="shared" si="12"/>
        <v>0</v>
      </c>
      <c r="U59" s="69"/>
      <c r="V59" s="69"/>
      <c r="W59" s="69"/>
      <c r="X59" s="69"/>
      <c r="Y59" s="69"/>
      <c r="Z59" s="69"/>
    </row>
    <row r="60" spans="1:27" ht="89.25" hidden="1" x14ac:dyDescent="0.25">
      <c r="A60" s="67" t="s">
        <v>304</v>
      </c>
      <c r="B60" s="67">
        <v>211.4</v>
      </c>
      <c r="C60" s="67" t="s">
        <v>305</v>
      </c>
      <c r="D60" s="68">
        <f t="shared" si="11"/>
        <v>0</v>
      </c>
      <c r="E60" s="68">
        <f>SUM(F60:J60)</f>
        <v>0</v>
      </c>
      <c r="F60" s="69"/>
      <c r="G60" s="69"/>
      <c r="H60" s="181"/>
      <c r="I60" s="69"/>
      <c r="J60" s="181"/>
      <c r="K60" s="68">
        <f>SUM(L60:R60)</f>
        <v>0</v>
      </c>
      <c r="L60" s="181"/>
      <c r="M60" s="181"/>
      <c r="N60" s="69"/>
      <c r="O60" s="69"/>
      <c r="P60" s="69"/>
      <c r="Q60" s="181"/>
      <c r="R60" s="69"/>
      <c r="S60" s="69"/>
      <c r="T60" s="68">
        <f t="shared" si="12"/>
        <v>0</v>
      </c>
      <c r="U60" s="69"/>
      <c r="V60" s="69"/>
      <c r="W60" s="69"/>
      <c r="X60" s="69"/>
      <c r="Y60" s="69"/>
      <c r="Z60" s="69"/>
    </row>
    <row r="61" spans="1:27" ht="27.75" customHeight="1" x14ac:dyDescent="0.25">
      <c r="A61" s="67" t="s">
        <v>306</v>
      </c>
      <c r="B61" s="67">
        <v>211.5</v>
      </c>
      <c r="C61" s="67" t="s">
        <v>576</v>
      </c>
      <c r="D61" s="68">
        <f t="shared" si="11"/>
        <v>109900</v>
      </c>
      <c r="E61" s="68">
        <f t="shared" ref="E61:E70" si="13">SUM(F61:J61)</f>
        <v>0</v>
      </c>
      <c r="F61" s="69"/>
      <c r="G61" s="69"/>
      <c r="H61" s="181"/>
      <c r="I61" s="69"/>
      <c r="J61" s="181"/>
      <c r="K61" s="68">
        <f t="shared" ref="K61:K70" si="14">SUM(L61:R61)</f>
        <v>109900</v>
      </c>
      <c r="L61" s="181"/>
      <c r="M61" s="181"/>
      <c r="N61" s="69"/>
      <c r="O61" s="69"/>
      <c r="P61" s="69"/>
      <c r="Q61" s="181">
        <v>109900</v>
      </c>
      <c r="R61" s="69"/>
      <c r="S61" s="69"/>
      <c r="T61" s="68">
        <f t="shared" si="12"/>
        <v>0</v>
      </c>
      <c r="U61" s="69"/>
      <c r="V61" s="69"/>
      <c r="W61" s="69"/>
      <c r="X61" s="69"/>
      <c r="Y61" s="69"/>
      <c r="Z61" s="69"/>
    </row>
    <row r="62" spans="1:27" hidden="1" x14ac:dyDescent="0.25">
      <c r="A62" s="67" t="s">
        <v>307</v>
      </c>
      <c r="B62" s="67">
        <v>211.6</v>
      </c>
      <c r="C62" s="67" t="s">
        <v>308</v>
      </c>
      <c r="D62" s="68">
        <f t="shared" si="11"/>
        <v>0</v>
      </c>
      <c r="E62" s="68">
        <f t="shared" si="13"/>
        <v>0</v>
      </c>
      <c r="F62" s="69"/>
      <c r="G62" s="69"/>
      <c r="H62" s="181"/>
      <c r="I62" s="69"/>
      <c r="J62" s="181"/>
      <c r="K62" s="68">
        <f t="shared" si="14"/>
        <v>0</v>
      </c>
      <c r="L62" s="181"/>
      <c r="M62" s="181"/>
      <c r="N62" s="69"/>
      <c r="O62" s="69"/>
      <c r="P62" s="69"/>
      <c r="Q62" s="181"/>
      <c r="R62" s="69"/>
      <c r="S62" s="69"/>
      <c r="T62" s="68">
        <f t="shared" si="12"/>
        <v>0</v>
      </c>
      <c r="U62" s="69"/>
      <c r="V62" s="69"/>
      <c r="W62" s="69"/>
      <c r="X62" s="69"/>
      <c r="Y62" s="69"/>
      <c r="Z62" s="69"/>
    </row>
    <row r="63" spans="1:27" ht="27" customHeight="1" x14ac:dyDescent="0.25">
      <c r="A63" s="67" t="s">
        <v>309</v>
      </c>
      <c r="B63" s="67">
        <v>211.7</v>
      </c>
      <c r="C63" s="67" t="s">
        <v>577</v>
      </c>
      <c r="D63" s="68">
        <f t="shared" si="11"/>
        <v>78000</v>
      </c>
      <c r="E63" s="68">
        <f t="shared" si="13"/>
        <v>0</v>
      </c>
      <c r="F63" s="69"/>
      <c r="G63" s="69"/>
      <c r="H63" s="181"/>
      <c r="I63" s="69"/>
      <c r="J63" s="181"/>
      <c r="K63" s="68">
        <f t="shared" si="14"/>
        <v>78000</v>
      </c>
      <c r="L63" s="181"/>
      <c r="M63" s="181"/>
      <c r="N63" s="69"/>
      <c r="O63" s="69"/>
      <c r="P63" s="69"/>
      <c r="Q63" s="181">
        <v>78000</v>
      </c>
      <c r="R63" s="69"/>
      <c r="S63" s="69"/>
      <c r="T63" s="68">
        <f t="shared" si="12"/>
        <v>0</v>
      </c>
      <c r="U63" s="69"/>
      <c r="V63" s="69"/>
      <c r="W63" s="69"/>
      <c r="X63" s="69"/>
      <c r="Y63" s="69"/>
      <c r="Z63" s="69"/>
    </row>
    <row r="64" spans="1:27" hidden="1" x14ac:dyDescent="0.25">
      <c r="A64" s="67" t="s">
        <v>310</v>
      </c>
      <c r="B64" s="67">
        <v>211.8</v>
      </c>
      <c r="C64" s="67" t="s">
        <v>578</v>
      </c>
      <c r="D64" s="68">
        <f t="shared" si="11"/>
        <v>0</v>
      </c>
      <c r="E64" s="68">
        <f t="shared" si="13"/>
        <v>0</v>
      </c>
      <c r="F64" s="69"/>
      <c r="G64" s="69"/>
      <c r="H64" s="181"/>
      <c r="I64" s="69"/>
      <c r="J64" s="181"/>
      <c r="K64" s="68">
        <f t="shared" si="14"/>
        <v>0</v>
      </c>
      <c r="L64" s="181"/>
      <c r="M64" s="181"/>
      <c r="N64" s="69"/>
      <c r="O64" s="69"/>
      <c r="P64" s="69"/>
      <c r="Q64" s="181"/>
      <c r="R64" s="69"/>
      <c r="S64" s="69"/>
      <c r="T64" s="68">
        <f t="shared" si="12"/>
        <v>0</v>
      </c>
      <c r="U64" s="69"/>
      <c r="V64" s="69"/>
      <c r="W64" s="69"/>
      <c r="X64" s="69"/>
      <c r="Y64" s="69"/>
      <c r="Z64" s="69"/>
    </row>
    <row r="65" spans="1:26" ht="89.25" hidden="1" x14ac:dyDescent="0.25">
      <c r="A65" s="67" t="s">
        <v>311</v>
      </c>
      <c r="B65" s="67">
        <v>211.9</v>
      </c>
      <c r="C65" s="67" t="s">
        <v>312</v>
      </c>
      <c r="D65" s="68">
        <f t="shared" si="11"/>
        <v>0</v>
      </c>
      <c r="E65" s="68">
        <f t="shared" si="13"/>
        <v>0</v>
      </c>
      <c r="F65" s="69"/>
      <c r="G65" s="69"/>
      <c r="H65" s="181"/>
      <c r="I65" s="69"/>
      <c r="J65" s="181"/>
      <c r="K65" s="68">
        <f t="shared" si="14"/>
        <v>0</v>
      </c>
      <c r="L65" s="181"/>
      <c r="M65" s="181"/>
      <c r="N65" s="69"/>
      <c r="O65" s="69"/>
      <c r="P65" s="69"/>
      <c r="Q65" s="181"/>
      <c r="R65" s="69"/>
      <c r="S65" s="69"/>
      <c r="T65" s="68">
        <f t="shared" si="12"/>
        <v>0</v>
      </c>
      <c r="U65" s="69"/>
      <c r="V65" s="69"/>
      <c r="W65" s="69"/>
      <c r="X65" s="69"/>
      <c r="Y65" s="69"/>
      <c r="Z65" s="69"/>
    </row>
    <row r="66" spans="1:26" ht="76.5" x14ac:dyDescent="0.25">
      <c r="A66" s="67" t="s">
        <v>313</v>
      </c>
      <c r="B66" s="67">
        <v>211.1</v>
      </c>
      <c r="C66" s="67" t="s">
        <v>314</v>
      </c>
      <c r="D66" s="68">
        <f t="shared" si="11"/>
        <v>985800</v>
      </c>
      <c r="E66" s="68">
        <f t="shared" si="13"/>
        <v>0</v>
      </c>
      <c r="F66" s="69"/>
      <c r="G66" s="69"/>
      <c r="H66" s="181"/>
      <c r="I66" s="69"/>
      <c r="J66" s="181"/>
      <c r="K66" s="68">
        <f t="shared" si="14"/>
        <v>985800</v>
      </c>
      <c r="L66" s="181"/>
      <c r="M66" s="181"/>
      <c r="N66" s="69"/>
      <c r="O66" s="69"/>
      <c r="P66" s="69"/>
      <c r="Q66" s="181">
        <f>1060000-185800+111600</f>
        <v>985800</v>
      </c>
      <c r="R66" s="69"/>
      <c r="S66" s="69"/>
      <c r="T66" s="68">
        <f t="shared" si="12"/>
        <v>0</v>
      </c>
      <c r="U66" s="69"/>
      <c r="V66" s="69"/>
      <c r="W66" s="69"/>
      <c r="X66" s="69"/>
      <c r="Y66" s="69"/>
      <c r="Z66" s="69"/>
    </row>
    <row r="67" spans="1:26" ht="24.75" customHeight="1" x14ac:dyDescent="0.25">
      <c r="A67" s="67" t="s">
        <v>315</v>
      </c>
      <c r="B67" s="67">
        <v>211.11</v>
      </c>
      <c r="C67" s="67" t="s">
        <v>579</v>
      </c>
      <c r="D67" s="68">
        <f t="shared" si="11"/>
        <v>7582700</v>
      </c>
      <c r="E67" s="68">
        <f t="shared" si="13"/>
        <v>7582700</v>
      </c>
      <c r="F67" s="69"/>
      <c r="G67" s="69"/>
      <c r="H67" s="181">
        <v>7582700</v>
      </c>
      <c r="I67" s="69"/>
      <c r="J67" s="181"/>
      <c r="K67" s="68">
        <f t="shared" si="14"/>
        <v>0</v>
      </c>
      <c r="L67" s="181"/>
      <c r="M67" s="181"/>
      <c r="N67" s="69"/>
      <c r="O67" s="69"/>
      <c r="P67" s="69"/>
      <c r="Q67" s="181"/>
      <c r="R67" s="69"/>
      <c r="S67" s="69"/>
      <c r="T67" s="68">
        <f>SUM(U67:Z67)</f>
        <v>0</v>
      </c>
      <c r="U67" s="69"/>
      <c r="V67" s="69"/>
      <c r="W67" s="69"/>
      <c r="X67" s="69"/>
      <c r="Y67" s="69"/>
      <c r="Z67" s="69"/>
    </row>
    <row r="68" spans="1:26" ht="25.5" hidden="1" x14ac:dyDescent="0.25">
      <c r="A68" s="67" t="s">
        <v>316</v>
      </c>
      <c r="B68" s="67">
        <v>220</v>
      </c>
      <c r="C68" s="67">
        <v>300</v>
      </c>
      <c r="D68" s="68">
        <f t="shared" si="11"/>
        <v>0</v>
      </c>
      <c r="E68" s="68">
        <f t="shared" si="13"/>
        <v>0</v>
      </c>
      <c r="F68" s="68">
        <f>F70</f>
        <v>0</v>
      </c>
      <c r="G68" s="68">
        <f t="shared" ref="G68:Z68" si="15">G70</f>
        <v>0</v>
      </c>
      <c r="H68" s="180">
        <f t="shared" si="15"/>
        <v>0</v>
      </c>
      <c r="I68" s="68">
        <f t="shared" si="15"/>
        <v>0</v>
      </c>
      <c r="J68" s="180">
        <f t="shared" si="15"/>
        <v>0</v>
      </c>
      <c r="K68" s="68">
        <f t="shared" si="14"/>
        <v>0</v>
      </c>
      <c r="L68" s="180">
        <f t="shared" ref="L68:Q68" si="16">L70</f>
        <v>0</v>
      </c>
      <c r="M68" s="180">
        <f t="shared" si="16"/>
        <v>0</v>
      </c>
      <c r="N68" s="68">
        <f t="shared" si="16"/>
        <v>0</v>
      </c>
      <c r="O68" s="68">
        <f t="shared" si="16"/>
        <v>0</v>
      </c>
      <c r="P68" s="68">
        <f t="shared" si="16"/>
        <v>0</v>
      </c>
      <c r="Q68" s="180">
        <f t="shared" si="16"/>
        <v>0</v>
      </c>
      <c r="R68" s="68">
        <f t="shared" si="15"/>
        <v>0</v>
      </c>
      <c r="S68" s="68">
        <f t="shared" si="15"/>
        <v>0</v>
      </c>
      <c r="T68" s="68">
        <f>SUM(U68:Z68)</f>
        <v>0</v>
      </c>
      <c r="U68" s="68">
        <f t="shared" si="15"/>
        <v>0</v>
      </c>
      <c r="V68" s="68">
        <f t="shared" si="15"/>
        <v>0</v>
      </c>
      <c r="W68" s="68">
        <f t="shared" si="15"/>
        <v>0</v>
      </c>
      <c r="X68" s="68">
        <f t="shared" si="15"/>
        <v>0</v>
      </c>
      <c r="Y68" s="68">
        <f t="shared" si="15"/>
        <v>0</v>
      </c>
      <c r="Z68" s="68">
        <f t="shared" si="15"/>
        <v>0</v>
      </c>
    </row>
    <row r="69" spans="1:26" hidden="1" x14ac:dyDescent="0.25">
      <c r="A69" s="67" t="s">
        <v>187</v>
      </c>
      <c r="B69" s="67"/>
      <c r="C69" s="67"/>
      <c r="D69" s="68"/>
      <c r="E69" s="68"/>
      <c r="F69" s="69"/>
      <c r="G69" s="69"/>
      <c r="H69" s="181"/>
      <c r="I69" s="69"/>
      <c r="J69" s="181"/>
      <c r="K69" s="68"/>
      <c r="L69" s="181"/>
      <c r="M69" s="181"/>
      <c r="N69" s="69"/>
      <c r="O69" s="69"/>
      <c r="P69" s="69"/>
      <c r="Q69" s="181"/>
      <c r="R69" s="69"/>
      <c r="S69" s="69"/>
      <c r="T69" s="68"/>
      <c r="U69" s="69"/>
      <c r="V69" s="69"/>
      <c r="W69" s="69"/>
      <c r="X69" s="69"/>
      <c r="Y69" s="69"/>
      <c r="Z69" s="69"/>
    </row>
    <row r="70" spans="1:26" ht="51" hidden="1" x14ac:dyDescent="0.25">
      <c r="A70" s="67" t="s">
        <v>317</v>
      </c>
      <c r="B70" s="67">
        <v>221</v>
      </c>
      <c r="C70" s="67">
        <v>320</v>
      </c>
      <c r="D70" s="68">
        <f>E70+K70+S70+T70</f>
        <v>0</v>
      </c>
      <c r="E70" s="68">
        <f t="shared" si="13"/>
        <v>0</v>
      </c>
      <c r="F70" s="68">
        <f>SUM(F72:F77)</f>
        <v>0</v>
      </c>
      <c r="G70" s="68">
        <f>SUM(G72:G77)</f>
        <v>0</v>
      </c>
      <c r="H70" s="180">
        <f>SUM(H72:H77)</f>
        <v>0</v>
      </c>
      <c r="I70" s="68">
        <f>SUM(I72:I77)</f>
        <v>0</v>
      </c>
      <c r="J70" s="180">
        <f>SUM(J72:J77)</f>
        <v>0</v>
      </c>
      <c r="K70" s="68">
        <f t="shared" si="14"/>
        <v>0</v>
      </c>
      <c r="L70" s="180">
        <f t="shared" ref="L70:Q70" si="17">SUM(L72:L77)</f>
        <v>0</v>
      </c>
      <c r="M70" s="180">
        <f t="shared" si="17"/>
        <v>0</v>
      </c>
      <c r="N70" s="68">
        <f t="shared" si="17"/>
        <v>0</v>
      </c>
      <c r="O70" s="68">
        <f t="shared" si="17"/>
        <v>0</v>
      </c>
      <c r="P70" s="68">
        <f t="shared" si="17"/>
        <v>0</v>
      </c>
      <c r="Q70" s="180">
        <f t="shared" si="17"/>
        <v>0</v>
      </c>
      <c r="R70" s="68">
        <f>SUM(R72:R77)</f>
        <v>0</v>
      </c>
      <c r="S70" s="68">
        <f>SUM(S72:S77)</f>
        <v>0</v>
      </c>
      <c r="T70" s="68">
        <f>SUM(U70:Z70)</f>
        <v>0</v>
      </c>
      <c r="U70" s="68">
        <f t="shared" ref="U70:Z70" si="18">SUM(U72:U77)</f>
        <v>0</v>
      </c>
      <c r="V70" s="68">
        <f t="shared" si="18"/>
        <v>0</v>
      </c>
      <c r="W70" s="68">
        <f t="shared" si="18"/>
        <v>0</v>
      </c>
      <c r="X70" s="68">
        <f t="shared" si="18"/>
        <v>0</v>
      </c>
      <c r="Y70" s="68">
        <f t="shared" si="18"/>
        <v>0</v>
      </c>
      <c r="Z70" s="68">
        <f t="shared" si="18"/>
        <v>0</v>
      </c>
    </row>
    <row r="71" spans="1:26" hidden="1" x14ac:dyDescent="0.25">
      <c r="A71" s="67" t="s">
        <v>185</v>
      </c>
      <c r="B71" s="79"/>
      <c r="C71" s="79"/>
      <c r="D71" s="68"/>
      <c r="E71" s="68"/>
      <c r="F71" s="69"/>
      <c r="G71" s="69"/>
      <c r="H71" s="181"/>
      <c r="I71" s="69"/>
      <c r="J71" s="181"/>
      <c r="K71" s="68"/>
      <c r="L71" s="181"/>
      <c r="M71" s="181"/>
      <c r="N71" s="69"/>
      <c r="O71" s="69"/>
      <c r="P71" s="69"/>
      <c r="Q71" s="181"/>
      <c r="R71" s="69"/>
      <c r="S71" s="69"/>
      <c r="T71" s="68"/>
      <c r="U71" s="69"/>
      <c r="V71" s="69"/>
      <c r="W71" s="69"/>
      <c r="X71" s="69"/>
      <c r="Y71" s="69"/>
      <c r="Z71" s="69"/>
    </row>
    <row r="72" spans="1:26" ht="25.5" hidden="1" x14ac:dyDescent="0.25">
      <c r="A72" s="67" t="s">
        <v>318</v>
      </c>
      <c r="B72" s="67">
        <v>221.1</v>
      </c>
      <c r="C72" s="67" t="s">
        <v>319</v>
      </c>
      <c r="D72" s="68">
        <f t="shared" ref="D72:D78" si="19">E72+K72+S72+T72</f>
        <v>0</v>
      </c>
      <c r="E72" s="68">
        <f t="shared" ref="E72:E78" si="20">SUM(F72:J72)</f>
        <v>0</v>
      </c>
      <c r="F72" s="69"/>
      <c r="G72" s="69"/>
      <c r="H72" s="181"/>
      <c r="I72" s="69"/>
      <c r="J72" s="181"/>
      <c r="K72" s="68">
        <f t="shared" ref="K72:K78" si="21">SUM(L72:R72)</f>
        <v>0</v>
      </c>
      <c r="L72" s="181"/>
      <c r="M72" s="181"/>
      <c r="N72" s="69"/>
      <c r="O72" s="69"/>
      <c r="P72" s="69"/>
      <c r="Q72" s="181"/>
      <c r="R72" s="69"/>
      <c r="S72" s="69"/>
      <c r="T72" s="68">
        <f t="shared" ref="T72:T78" si="22">SUM(U72:Z72)</f>
        <v>0</v>
      </c>
      <c r="U72" s="69"/>
      <c r="V72" s="69"/>
      <c r="W72" s="69"/>
      <c r="X72" s="69"/>
      <c r="Y72" s="69"/>
      <c r="Z72" s="69"/>
    </row>
    <row r="73" spans="1:26" ht="25.5" hidden="1" x14ac:dyDescent="0.25">
      <c r="A73" s="67" t="s">
        <v>613</v>
      </c>
      <c r="B73" s="67">
        <v>221.2</v>
      </c>
      <c r="C73" s="67" t="s">
        <v>320</v>
      </c>
      <c r="D73" s="68">
        <f t="shared" si="19"/>
        <v>0</v>
      </c>
      <c r="E73" s="68">
        <f t="shared" si="20"/>
        <v>0</v>
      </c>
      <c r="F73" s="69"/>
      <c r="G73" s="69"/>
      <c r="H73" s="181"/>
      <c r="I73" s="69"/>
      <c r="J73" s="181"/>
      <c r="K73" s="68">
        <f t="shared" si="21"/>
        <v>0</v>
      </c>
      <c r="L73" s="181"/>
      <c r="M73" s="181"/>
      <c r="N73" s="69"/>
      <c r="O73" s="69"/>
      <c r="P73" s="69"/>
      <c r="Q73" s="181"/>
      <c r="R73" s="69"/>
      <c r="S73" s="69"/>
      <c r="T73" s="68">
        <f t="shared" si="22"/>
        <v>0</v>
      </c>
      <c r="U73" s="69"/>
      <c r="V73" s="69"/>
      <c r="W73" s="69"/>
      <c r="X73" s="69"/>
      <c r="Y73" s="69"/>
      <c r="Z73" s="69"/>
    </row>
    <row r="74" spans="1:26" ht="51" hidden="1" x14ac:dyDescent="0.25">
      <c r="A74" s="67" t="s">
        <v>321</v>
      </c>
      <c r="B74" s="67">
        <v>221.3</v>
      </c>
      <c r="C74" s="67" t="s">
        <v>322</v>
      </c>
      <c r="D74" s="68">
        <f t="shared" si="19"/>
        <v>0</v>
      </c>
      <c r="E74" s="68">
        <f t="shared" si="20"/>
        <v>0</v>
      </c>
      <c r="F74" s="69"/>
      <c r="G74" s="69"/>
      <c r="H74" s="181"/>
      <c r="I74" s="69"/>
      <c r="J74" s="181"/>
      <c r="K74" s="68">
        <f t="shared" si="21"/>
        <v>0</v>
      </c>
      <c r="L74" s="181"/>
      <c r="M74" s="181"/>
      <c r="N74" s="69"/>
      <c r="O74" s="69"/>
      <c r="P74" s="69"/>
      <c r="Q74" s="181"/>
      <c r="R74" s="69"/>
      <c r="S74" s="69"/>
      <c r="T74" s="68">
        <f t="shared" si="22"/>
        <v>0</v>
      </c>
      <c r="U74" s="69"/>
      <c r="V74" s="69"/>
      <c r="W74" s="69"/>
      <c r="X74" s="69"/>
      <c r="Y74" s="69"/>
      <c r="Z74" s="69"/>
    </row>
    <row r="75" spans="1:26" hidden="1" x14ac:dyDescent="0.25">
      <c r="A75" s="67" t="s">
        <v>323</v>
      </c>
      <c r="B75" s="67">
        <v>222</v>
      </c>
      <c r="C75" s="67" t="s">
        <v>324</v>
      </c>
      <c r="D75" s="68">
        <f t="shared" si="19"/>
        <v>0</v>
      </c>
      <c r="E75" s="68">
        <f t="shared" si="20"/>
        <v>0</v>
      </c>
      <c r="F75" s="69"/>
      <c r="G75" s="69"/>
      <c r="H75" s="181"/>
      <c r="I75" s="69"/>
      <c r="J75" s="181"/>
      <c r="K75" s="68">
        <f t="shared" si="21"/>
        <v>0</v>
      </c>
      <c r="L75" s="181"/>
      <c r="M75" s="181"/>
      <c r="N75" s="69"/>
      <c r="O75" s="69"/>
      <c r="P75" s="69"/>
      <c r="Q75" s="181"/>
      <c r="R75" s="69"/>
      <c r="S75" s="69"/>
      <c r="T75" s="68">
        <f t="shared" si="22"/>
        <v>0</v>
      </c>
      <c r="U75" s="69"/>
      <c r="V75" s="69"/>
      <c r="W75" s="69"/>
      <c r="X75" s="69"/>
      <c r="Y75" s="69"/>
      <c r="Z75" s="69"/>
    </row>
    <row r="76" spans="1:26" hidden="1" x14ac:dyDescent="0.25">
      <c r="A76" s="67" t="s">
        <v>325</v>
      </c>
      <c r="B76" s="67">
        <v>223</v>
      </c>
      <c r="C76" s="67" t="s">
        <v>326</v>
      </c>
      <c r="D76" s="68">
        <f t="shared" si="19"/>
        <v>0</v>
      </c>
      <c r="E76" s="68">
        <f t="shared" si="20"/>
        <v>0</v>
      </c>
      <c r="F76" s="69"/>
      <c r="G76" s="69"/>
      <c r="H76" s="181"/>
      <c r="I76" s="69"/>
      <c r="J76" s="181"/>
      <c r="K76" s="68">
        <f t="shared" si="21"/>
        <v>0</v>
      </c>
      <c r="L76" s="181"/>
      <c r="M76" s="181"/>
      <c r="N76" s="69"/>
      <c r="O76" s="69"/>
      <c r="P76" s="69"/>
      <c r="Q76" s="181"/>
      <c r="R76" s="69"/>
      <c r="S76" s="69"/>
      <c r="T76" s="68">
        <f t="shared" si="22"/>
        <v>0</v>
      </c>
      <c r="U76" s="69"/>
      <c r="V76" s="69"/>
      <c r="W76" s="69"/>
      <c r="X76" s="69"/>
      <c r="Y76" s="69"/>
      <c r="Z76" s="69"/>
    </row>
    <row r="77" spans="1:26" hidden="1" x14ac:dyDescent="0.25">
      <c r="A77" s="67" t="s">
        <v>327</v>
      </c>
      <c r="B77" s="67">
        <v>224</v>
      </c>
      <c r="C77" s="67" t="s">
        <v>328</v>
      </c>
      <c r="D77" s="68">
        <f t="shared" si="19"/>
        <v>0</v>
      </c>
      <c r="E77" s="68">
        <f t="shared" si="20"/>
        <v>0</v>
      </c>
      <c r="F77" s="69"/>
      <c r="G77" s="69"/>
      <c r="H77" s="181"/>
      <c r="I77" s="69"/>
      <c r="J77" s="181"/>
      <c r="K77" s="68">
        <f t="shared" si="21"/>
        <v>0</v>
      </c>
      <c r="L77" s="181"/>
      <c r="M77" s="181"/>
      <c r="N77" s="69"/>
      <c r="O77" s="69"/>
      <c r="P77" s="69"/>
      <c r="Q77" s="181"/>
      <c r="R77" s="69"/>
      <c r="S77" s="69"/>
      <c r="T77" s="68">
        <f t="shared" si="22"/>
        <v>0</v>
      </c>
      <c r="U77" s="69"/>
      <c r="V77" s="69"/>
      <c r="W77" s="69"/>
      <c r="X77" s="69"/>
      <c r="Y77" s="69"/>
      <c r="Z77" s="69"/>
    </row>
    <row r="78" spans="1:26" ht="25.5" x14ac:dyDescent="0.25">
      <c r="A78" s="67" t="s">
        <v>329</v>
      </c>
      <c r="B78" s="67">
        <v>230</v>
      </c>
      <c r="C78" s="67">
        <v>800</v>
      </c>
      <c r="D78" s="68">
        <f t="shared" si="19"/>
        <v>4600</v>
      </c>
      <c r="E78" s="68">
        <f t="shared" si="20"/>
        <v>0</v>
      </c>
      <c r="F78" s="68">
        <f>F80+F83</f>
        <v>0</v>
      </c>
      <c r="G78" s="68">
        <f>G80+G83</f>
        <v>0</v>
      </c>
      <c r="H78" s="180">
        <f>H80+H83</f>
        <v>0</v>
      </c>
      <c r="I78" s="68">
        <f>I80+I83</f>
        <v>0</v>
      </c>
      <c r="J78" s="180">
        <f>J80+J83</f>
        <v>0</v>
      </c>
      <c r="K78" s="68">
        <f t="shared" si="21"/>
        <v>4600</v>
      </c>
      <c r="L78" s="180">
        <f t="shared" ref="L78:Q78" si="23">L80+L83</f>
        <v>0</v>
      </c>
      <c r="M78" s="180">
        <f t="shared" si="23"/>
        <v>4600</v>
      </c>
      <c r="N78" s="68">
        <f t="shared" si="23"/>
        <v>0</v>
      </c>
      <c r="O78" s="68">
        <f t="shared" si="23"/>
        <v>0</v>
      </c>
      <c r="P78" s="68">
        <f t="shared" si="23"/>
        <v>0</v>
      </c>
      <c r="Q78" s="180">
        <f t="shared" si="23"/>
        <v>0</v>
      </c>
      <c r="R78" s="68">
        <f>R80+R83</f>
        <v>0</v>
      </c>
      <c r="S78" s="68">
        <f>S80+S83</f>
        <v>0</v>
      </c>
      <c r="T78" s="68">
        <f t="shared" si="22"/>
        <v>0</v>
      </c>
      <c r="U78" s="68">
        <f t="shared" ref="U78:Z78" si="24">U80+U83</f>
        <v>0</v>
      </c>
      <c r="V78" s="68">
        <f t="shared" si="24"/>
        <v>0</v>
      </c>
      <c r="W78" s="68">
        <f t="shared" si="24"/>
        <v>0</v>
      </c>
      <c r="X78" s="68">
        <f t="shared" si="24"/>
        <v>0</v>
      </c>
      <c r="Y78" s="68">
        <f t="shared" si="24"/>
        <v>0</v>
      </c>
      <c r="Z78" s="68">
        <f t="shared" si="24"/>
        <v>0</v>
      </c>
    </row>
    <row r="79" spans="1:26" x14ac:dyDescent="0.25">
      <c r="A79" s="67" t="s">
        <v>187</v>
      </c>
      <c r="B79" s="79"/>
      <c r="C79" s="79"/>
      <c r="D79" s="68"/>
      <c r="E79" s="68"/>
      <c r="F79" s="69"/>
      <c r="G79" s="69"/>
      <c r="H79" s="181"/>
      <c r="I79" s="69"/>
      <c r="J79" s="181"/>
      <c r="K79" s="68"/>
      <c r="L79" s="181"/>
      <c r="M79" s="181"/>
      <c r="N79" s="69"/>
      <c r="O79" s="69"/>
      <c r="P79" s="69"/>
      <c r="Q79" s="181"/>
      <c r="R79" s="69"/>
      <c r="S79" s="69"/>
      <c r="T79" s="68"/>
      <c r="U79" s="69"/>
      <c r="V79" s="69"/>
      <c r="W79" s="69"/>
      <c r="X79" s="69"/>
      <c r="Y79" s="69"/>
      <c r="Z79" s="69"/>
    </row>
    <row r="80" spans="1:26" ht="25.5" hidden="1" x14ac:dyDescent="0.25">
      <c r="A80" s="67" t="s">
        <v>330</v>
      </c>
      <c r="B80" s="67">
        <v>231</v>
      </c>
      <c r="C80" s="67">
        <v>830</v>
      </c>
      <c r="D80" s="68">
        <f>E80+K80+S80+T80</f>
        <v>0</v>
      </c>
      <c r="E80" s="68">
        <f>SUM(F80:J80)</f>
        <v>0</v>
      </c>
      <c r="F80" s="68">
        <f>F82</f>
        <v>0</v>
      </c>
      <c r="G80" s="68">
        <f>G82</f>
        <v>0</v>
      </c>
      <c r="H80" s="180">
        <f>H82</f>
        <v>0</v>
      </c>
      <c r="I80" s="68">
        <f>I82</f>
        <v>0</v>
      </c>
      <c r="J80" s="180">
        <f>J82</f>
        <v>0</v>
      </c>
      <c r="K80" s="68">
        <f>SUM(L80:R80)</f>
        <v>0</v>
      </c>
      <c r="L80" s="180">
        <f t="shared" ref="L80:Q80" si="25">L82</f>
        <v>0</v>
      </c>
      <c r="M80" s="180">
        <f t="shared" si="25"/>
        <v>0</v>
      </c>
      <c r="N80" s="68">
        <f t="shared" si="25"/>
        <v>0</v>
      </c>
      <c r="O80" s="68">
        <f t="shared" si="25"/>
        <v>0</v>
      </c>
      <c r="P80" s="68">
        <f t="shared" si="25"/>
        <v>0</v>
      </c>
      <c r="Q80" s="180">
        <f t="shared" si="25"/>
        <v>0</v>
      </c>
      <c r="R80" s="68">
        <f>R82</f>
        <v>0</v>
      </c>
      <c r="S80" s="68">
        <f>S82</f>
        <v>0</v>
      </c>
      <c r="T80" s="68">
        <f>SUM(U80:Z80)</f>
        <v>0</v>
      </c>
      <c r="U80" s="68">
        <f t="shared" ref="U80:Z80" si="26">U82</f>
        <v>0</v>
      </c>
      <c r="V80" s="68">
        <f t="shared" si="26"/>
        <v>0</v>
      </c>
      <c r="W80" s="68">
        <f t="shared" si="26"/>
        <v>0</v>
      </c>
      <c r="X80" s="68">
        <f t="shared" si="26"/>
        <v>0</v>
      </c>
      <c r="Y80" s="68">
        <f t="shared" si="26"/>
        <v>0</v>
      </c>
      <c r="Z80" s="68">
        <f t="shared" si="26"/>
        <v>0</v>
      </c>
    </row>
    <row r="81" spans="1:26" hidden="1" x14ac:dyDescent="0.25">
      <c r="A81" s="67" t="s">
        <v>185</v>
      </c>
      <c r="B81" s="83"/>
      <c r="C81" s="83"/>
      <c r="D81" s="68"/>
      <c r="E81" s="84"/>
      <c r="F81" s="85"/>
      <c r="G81" s="85"/>
      <c r="H81" s="183"/>
      <c r="I81" s="85"/>
      <c r="J81" s="183"/>
      <c r="K81" s="84"/>
      <c r="L81" s="183"/>
      <c r="M81" s="183"/>
      <c r="N81" s="85"/>
      <c r="O81" s="85"/>
      <c r="P81" s="85"/>
      <c r="Q81" s="183"/>
      <c r="R81" s="85"/>
      <c r="S81" s="85"/>
      <c r="T81" s="84"/>
      <c r="U81" s="85"/>
      <c r="V81" s="85"/>
      <c r="W81" s="85"/>
      <c r="X81" s="85"/>
      <c r="Y81" s="85"/>
      <c r="Z81" s="85"/>
    </row>
    <row r="82" spans="1:26" ht="63.75" hidden="1" x14ac:dyDescent="0.25">
      <c r="A82" s="67" t="s">
        <v>331</v>
      </c>
      <c r="B82" s="67">
        <v>231.1</v>
      </c>
      <c r="C82" s="67" t="s">
        <v>332</v>
      </c>
      <c r="D82" s="68">
        <f>E82+K82+S82+T82</f>
        <v>0</v>
      </c>
      <c r="E82" s="68">
        <f>SUM(F82:J82)</f>
        <v>0</v>
      </c>
      <c r="F82" s="69"/>
      <c r="G82" s="69"/>
      <c r="H82" s="181"/>
      <c r="I82" s="69"/>
      <c r="J82" s="181"/>
      <c r="K82" s="68">
        <f>SUM(L82:R82)</f>
        <v>0</v>
      </c>
      <c r="L82" s="181"/>
      <c r="M82" s="181"/>
      <c r="N82" s="69"/>
      <c r="O82" s="69"/>
      <c r="P82" s="69"/>
      <c r="Q82" s="181"/>
      <c r="R82" s="69"/>
      <c r="S82" s="69"/>
      <c r="T82" s="68">
        <f>SUM(U82:Z82)</f>
        <v>0</v>
      </c>
      <c r="U82" s="69"/>
      <c r="V82" s="69"/>
      <c r="W82" s="69"/>
      <c r="X82" s="69"/>
      <c r="Y82" s="69"/>
      <c r="Z82" s="69"/>
    </row>
    <row r="83" spans="1:26" ht="25.5" x14ac:dyDescent="0.25">
      <c r="A83" s="67" t="s">
        <v>333</v>
      </c>
      <c r="B83" s="67">
        <v>232</v>
      </c>
      <c r="C83" s="67">
        <v>850</v>
      </c>
      <c r="D83" s="68">
        <f>E83+K83+S83+T83</f>
        <v>4600</v>
      </c>
      <c r="E83" s="68">
        <f>SUM(F83:J83)</f>
        <v>0</v>
      </c>
      <c r="F83" s="68">
        <f>SUM(F85:F88)</f>
        <v>0</v>
      </c>
      <c r="G83" s="68">
        <f>SUM(G85:G88)</f>
        <v>0</v>
      </c>
      <c r="H83" s="180">
        <f>SUM(H85:H88)</f>
        <v>0</v>
      </c>
      <c r="I83" s="68">
        <f>SUM(I85:I88)</f>
        <v>0</v>
      </c>
      <c r="J83" s="180">
        <f>SUM(J85:J88)</f>
        <v>0</v>
      </c>
      <c r="K83" s="68">
        <f>SUM(L83:R83)</f>
        <v>4600</v>
      </c>
      <c r="L83" s="180">
        <f t="shared" ref="L83:Q83" si="27">SUM(L85:L88)</f>
        <v>0</v>
      </c>
      <c r="M83" s="180">
        <f t="shared" si="27"/>
        <v>4600</v>
      </c>
      <c r="N83" s="68">
        <f t="shared" si="27"/>
        <v>0</v>
      </c>
      <c r="O83" s="68">
        <f t="shared" si="27"/>
        <v>0</v>
      </c>
      <c r="P83" s="68">
        <f t="shared" si="27"/>
        <v>0</v>
      </c>
      <c r="Q83" s="180">
        <f t="shared" si="27"/>
        <v>0</v>
      </c>
      <c r="R83" s="68">
        <f>SUM(R85:R88)</f>
        <v>0</v>
      </c>
      <c r="S83" s="68">
        <f>SUM(S85:S88)</f>
        <v>0</v>
      </c>
      <c r="T83" s="68">
        <f>SUM(U83:Z83)</f>
        <v>0</v>
      </c>
      <c r="U83" s="68">
        <f t="shared" ref="U83:Z83" si="28">SUM(U85:U88)</f>
        <v>0</v>
      </c>
      <c r="V83" s="68">
        <f t="shared" si="28"/>
        <v>0</v>
      </c>
      <c r="W83" s="68">
        <f t="shared" si="28"/>
        <v>0</v>
      </c>
      <c r="X83" s="68">
        <f t="shared" si="28"/>
        <v>0</v>
      </c>
      <c r="Y83" s="68">
        <f t="shared" si="28"/>
        <v>0</v>
      </c>
      <c r="Z83" s="68">
        <f t="shared" si="28"/>
        <v>0</v>
      </c>
    </row>
    <row r="84" spans="1:26" x14ac:dyDescent="0.25">
      <c r="A84" s="67" t="s">
        <v>185</v>
      </c>
      <c r="B84" s="79"/>
      <c r="C84" s="79"/>
      <c r="D84" s="68"/>
      <c r="E84" s="68"/>
      <c r="F84" s="69"/>
      <c r="G84" s="69"/>
      <c r="H84" s="181"/>
      <c r="I84" s="69"/>
      <c r="J84" s="181"/>
      <c r="K84" s="68"/>
      <c r="L84" s="181"/>
      <c r="M84" s="181"/>
      <c r="N84" s="69"/>
      <c r="O84" s="69"/>
      <c r="P84" s="69"/>
      <c r="Q84" s="181"/>
      <c r="R84" s="69"/>
      <c r="S84" s="69"/>
      <c r="T84" s="68"/>
      <c r="U84" s="69"/>
      <c r="V84" s="69"/>
      <c r="W84" s="69"/>
      <c r="X84" s="69"/>
      <c r="Y84" s="69"/>
      <c r="Z84" s="69"/>
    </row>
    <row r="85" spans="1:26" ht="38.25" x14ac:dyDescent="0.25">
      <c r="A85" s="67" t="s">
        <v>334</v>
      </c>
      <c r="B85" s="67">
        <v>232.1</v>
      </c>
      <c r="C85" s="67" t="s">
        <v>335</v>
      </c>
      <c r="D85" s="68">
        <f>E85+K85+S85+T85</f>
        <v>4600</v>
      </c>
      <c r="E85" s="68">
        <f>SUM(F85:J85)</f>
        <v>0</v>
      </c>
      <c r="F85" s="69"/>
      <c r="G85" s="69"/>
      <c r="H85" s="181"/>
      <c r="I85" s="69"/>
      <c r="J85" s="181"/>
      <c r="K85" s="68">
        <f>SUM(L85:R85)</f>
        <v>4600</v>
      </c>
      <c r="L85" s="181"/>
      <c r="M85" s="181">
        <v>4600</v>
      </c>
      <c r="N85" s="69"/>
      <c r="O85" s="69"/>
      <c r="P85" s="69"/>
      <c r="Q85" s="181"/>
      <c r="R85" s="69"/>
      <c r="S85" s="69"/>
      <c r="T85" s="68">
        <f>SUM(U85:Z85)</f>
        <v>0</v>
      </c>
      <c r="U85" s="69"/>
      <c r="V85" s="69"/>
      <c r="W85" s="69"/>
      <c r="X85" s="69"/>
      <c r="Y85" s="69"/>
      <c r="Z85" s="69"/>
    </row>
    <row r="86" spans="1:26" hidden="1" x14ac:dyDescent="0.25">
      <c r="A86" s="67" t="s">
        <v>336</v>
      </c>
      <c r="B86" s="67">
        <v>232.2</v>
      </c>
      <c r="C86" s="67" t="s">
        <v>337</v>
      </c>
      <c r="D86" s="68">
        <f>E86+K86+S86+T86</f>
        <v>0</v>
      </c>
      <c r="E86" s="68">
        <f>SUM(F86:J86)</f>
        <v>0</v>
      </c>
      <c r="F86" s="69"/>
      <c r="G86" s="69"/>
      <c r="H86" s="181"/>
      <c r="I86" s="69"/>
      <c r="J86" s="181"/>
      <c r="K86" s="68">
        <f>SUM(L86:R86)</f>
        <v>0</v>
      </c>
      <c r="L86" s="181"/>
      <c r="M86" s="181"/>
      <c r="N86" s="69"/>
      <c r="O86" s="69"/>
      <c r="P86" s="69"/>
      <c r="Q86" s="181"/>
      <c r="R86" s="69"/>
      <c r="S86" s="69"/>
      <c r="T86" s="68">
        <f>SUM(U86:Z86)</f>
        <v>0</v>
      </c>
      <c r="U86" s="69"/>
      <c r="V86" s="69"/>
      <c r="W86" s="69"/>
      <c r="X86" s="69"/>
      <c r="Y86" s="69"/>
      <c r="Z86" s="69"/>
    </row>
    <row r="87" spans="1:26" ht="51" hidden="1" x14ac:dyDescent="0.25">
      <c r="A87" s="67" t="s">
        <v>338</v>
      </c>
      <c r="B87" s="67">
        <v>232.3</v>
      </c>
      <c r="C87" s="67" t="s">
        <v>339</v>
      </c>
      <c r="D87" s="68">
        <f>E87+K87+S87+T87</f>
        <v>0</v>
      </c>
      <c r="E87" s="68">
        <f>SUM(F87:J87)</f>
        <v>0</v>
      </c>
      <c r="F87" s="69"/>
      <c r="G87" s="69"/>
      <c r="H87" s="181"/>
      <c r="I87" s="69"/>
      <c r="J87" s="181"/>
      <c r="K87" s="68">
        <f>SUM(L87:R87)</f>
        <v>0</v>
      </c>
      <c r="L87" s="181"/>
      <c r="M87" s="181"/>
      <c r="N87" s="69"/>
      <c r="O87" s="69"/>
      <c r="P87" s="69"/>
      <c r="Q87" s="181"/>
      <c r="R87" s="69"/>
      <c r="S87" s="69"/>
      <c r="T87" s="68">
        <f>SUM(U87:Z87)</f>
        <v>0</v>
      </c>
      <c r="U87" s="69"/>
      <c r="V87" s="69"/>
      <c r="W87" s="69"/>
      <c r="X87" s="69"/>
      <c r="Y87" s="69"/>
      <c r="Z87" s="69"/>
    </row>
    <row r="88" spans="1:26" hidden="1" x14ac:dyDescent="0.25">
      <c r="A88" s="67" t="s">
        <v>340</v>
      </c>
      <c r="B88" s="67">
        <v>232.4</v>
      </c>
      <c r="C88" s="67" t="s">
        <v>341</v>
      </c>
      <c r="D88" s="68">
        <f>E88+K88+S88+T88</f>
        <v>0</v>
      </c>
      <c r="E88" s="68">
        <f>SUM(F88:J88)</f>
        <v>0</v>
      </c>
      <c r="F88" s="69"/>
      <c r="G88" s="69"/>
      <c r="H88" s="181"/>
      <c r="I88" s="69"/>
      <c r="J88" s="181"/>
      <c r="K88" s="68">
        <f>SUM(L88:R88)</f>
        <v>0</v>
      </c>
      <c r="L88" s="181"/>
      <c r="M88" s="181"/>
      <c r="N88" s="69"/>
      <c r="O88" s="69"/>
      <c r="P88" s="69"/>
      <c r="Q88" s="181"/>
      <c r="R88" s="69"/>
      <c r="S88" s="69"/>
      <c r="T88" s="68">
        <f>SUM(U88:Z88)</f>
        <v>0</v>
      </c>
      <c r="U88" s="69"/>
      <c r="V88" s="69"/>
      <c r="W88" s="69"/>
      <c r="X88" s="69"/>
      <c r="Y88" s="69"/>
      <c r="Z88" s="69"/>
    </row>
    <row r="89" spans="1:26" hidden="1" x14ac:dyDescent="0.25">
      <c r="A89" s="67"/>
      <c r="B89" s="67"/>
      <c r="C89" s="67"/>
      <c r="D89" s="68"/>
      <c r="E89" s="68"/>
      <c r="F89" s="69"/>
      <c r="G89" s="69"/>
      <c r="H89" s="181"/>
      <c r="I89" s="69"/>
      <c r="J89" s="181"/>
      <c r="K89" s="68"/>
      <c r="L89" s="181"/>
      <c r="M89" s="181"/>
      <c r="N89" s="69"/>
      <c r="O89" s="69"/>
      <c r="P89" s="69"/>
      <c r="Q89" s="181"/>
      <c r="R89" s="69"/>
      <c r="S89" s="69"/>
      <c r="T89" s="68"/>
      <c r="U89" s="69"/>
      <c r="V89" s="69"/>
      <c r="W89" s="69"/>
      <c r="X89" s="69"/>
      <c r="Y89" s="69"/>
      <c r="Z89" s="69"/>
    </row>
    <row r="90" spans="1:26" ht="25.5" hidden="1" x14ac:dyDescent="0.25">
      <c r="A90" s="67" t="s">
        <v>342</v>
      </c>
      <c r="B90" s="67">
        <v>240</v>
      </c>
      <c r="C90" s="67"/>
      <c r="D90" s="68">
        <f>E90+K90+S90+T90</f>
        <v>0</v>
      </c>
      <c r="E90" s="68"/>
      <c r="F90" s="69"/>
      <c r="G90" s="69"/>
      <c r="H90" s="181"/>
      <c r="I90" s="69"/>
      <c r="J90" s="181"/>
      <c r="K90" s="68"/>
      <c r="L90" s="181"/>
      <c r="M90" s="181"/>
      <c r="N90" s="69"/>
      <c r="O90" s="69"/>
      <c r="P90" s="69"/>
      <c r="Q90" s="181"/>
      <c r="R90" s="69"/>
      <c r="S90" s="69"/>
      <c r="T90" s="68">
        <f>SUM(U90:Z90)</f>
        <v>0</v>
      </c>
      <c r="U90" s="69"/>
      <c r="V90" s="69"/>
      <c r="W90" s="69"/>
      <c r="X90" s="69"/>
      <c r="Y90" s="69"/>
      <c r="Z90" s="69"/>
    </row>
    <row r="91" spans="1:26" hidden="1" x14ac:dyDescent="0.25">
      <c r="A91" s="67"/>
      <c r="B91" s="67"/>
      <c r="C91" s="67"/>
      <c r="D91" s="68"/>
      <c r="E91" s="68"/>
      <c r="F91" s="69"/>
      <c r="G91" s="69"/>
      <c r="H91" s="181"/>
      <c r="I91" s="69"/>
      <c r="J91" s="181"/>
      <c r="K91" s="68"/>
      <c r="L91" s="181"/>
      <c r="M91" s="181"/>
      <c r="N91" s="69"/>
      <c r="O91" s="69"/>
      <c r="P91" s="69"/>
      <c r="Q91" s="181"/>
      <c r="R91" s="69"/>
      <c r="S91" s="69"/>
      <c r="T91" s="68"/>
      <c r="U91" s="69"/>
      <c r="V91" s="69"/>
      <c r="W91" s="69"/>
      <c r="X91" s="69"/>
      <c r="Y91" s="69"/>
      <c r="Z91" s="69"/>
    </row>
    <row r="92" spans="1:26" ht="38.25" hidden="1" x14ac:dyDescent="0.25">
      <c r="A92" s="67" t="s">
        <v>343</v>
      </c>
      <c r="B92" s="67">
        <v>250</v>
      </c>
      <c r="C92" s="67"/>
      <c r="D92" s="68">
        <f>E92+K92+S92+T92</f>
        <v>0</v>
      </c>
      <c r="E92" s="68">
        <f>SUM(F92:J92)</f>
        <v>0</v>
      </c>
      <c r="F92" s="69"/>
      <c r="G92" s="69"/>
      <c r="H92" s="181"/>
      <c r="I92" s="69"/>
      <c r="J92" s="181"/>
      <c r="K92" s="68">
        <f>SUM(L92:R92)</f>
        <v>0</v>
      </c>
      <c r="L92" s="181"/>
      <c r="M92" s="181"/>
      <c r="N92" s="69"/>
      <c r="O92" s="69"/>
      <c r="P92" s="69"/>
      <c r="Q92" s="181"/>
      <c r="R92" s="69"/>
      <c r="S92" s="69"/>
      <c r="T92" s="68">
        <f>SUM(U92:Z92)</f>
        <v>0</v>
      </c>
      <c r="U92" s="69"/>
      <c r="V92" s="69"/>
      <c r="W92" s="69"/>
      <c r="X92" s="69"/>
      <c r="Y92" s="69"/>
      <c r="Z92" s="69"/>
    </row>
    <row r="93" spans="1:26" x14ac:dyDescent="0.25">
      <c r="A93" s="67"/>
      <c r="B93" s="67"/>
      <c r="C93" s="67"/>
      <c r="D93" s="68"/>
      <c r="E93" s="68"/>
      <c r="F93" s="69"/>
      <c r="G93" s="69"/>
      <c r="H93" s="181"/>
      <c r="I93" s="69"/>
      <c r="J93" s="181"/>
      <c r="K93" s="68"/>
      <c r="L93" s="181"/>
      <c r="M93" s="181"/>
      <c r="N93" s="69"/>
      <c r="O93" s="69"/>
      <c r="P93" s="69"/>
      <c r="Q93" s="181"/>
      <c r="R93" s="69"/>
      <c r="S93" s="69"/>
      <c r="T93" s="68"/>
      <c r="U93" s="69"/>
      <c r="V93" s="69"/>
      <c r="W93" s="69"/>
      <c r="X93" s="69"/>
      <c r="Y93" s="69"/>
      <c r="Z93" s="69"/>
    </row>
    <row r="94" spans="1:26" ht="24.75" customHeight="1" x14ac:dyDescent="0.25">
      <c r="A94" s="67" t="s">
        <v>344</v>
      </c>
      <c r="B94" s="67">
        <v>260</v>
      </c>
      <c r="C94" s="67">
        <v>200</v>
      </c>
      <c r="D94" s="68">
        <f>E94+K94+S94+T94</f>
        <v>2260200</v>
      </c>
      <c r="E94" s="68">
        <f>SUM(F94:J94)</f>
        <v>1317800</v>
      </c>
      <c r="F94" s="68">
        <f>F96</f>
        <v>0</v>
      </c>
      <c r="G94" s="68">
        <f>G96</f>
        <v>0</v>
      </c>
      <c r="H94" s="180">
        <f>H96</f>
        <v>1187400</v>
      </c>
      <c r="I94" s="68">
        <f>I96</f>
        <v>0</v>
      </c>
      <c r="J94" s="180">
        <f>J96</f>
        <v>130400</v>
      </c>
      <c r="K94" s="68">
        <f>SUM(L94:R94)</f>
        <v>942400</v>
      </c>
      <c r="L94" s="180">
        <f t="shared" ref="L94:Q94" si="29">L96</f>
        <v>0</v>
      </c>
      <c r="M94" s="180">
        <f t="shared" si="29"/>
        <v>0</v>
      </c>
      <c r="N94" s="68">
        <f t="shared" si="29"/>
        <v>0</v>
      </c>
      <c r="O94" s="68">
        <f t="shared" si="29"/>
        <v>0</v>
      </c>
      <c r="P94" s="68">
        <f t="shared" si="29"/>
        <v>0</v>
      </c>
      <c r="Q94" s="180">
        <f t="shared" si="29"/>
        <v>942400</v>
      </c>
      <c r="R94" s="68">
        <f>R96</f>
        <v>0</v>
      </c>
      <c r="S94" s="68">
        <f>S96</f>
        <v>0</v>
      </c>
      <c r="T94" s="68">
        <f>SUM(U94:Z94)</f>
        <v>0</v>
      </c>
      <c r="U94" s="68">
        <f t="shared" ref="U94:Z94" si="30">U96</f>
        <v>0</v>
      </c>
      <c r="V94" s="68">
        <f t="shared" si="30"/>
        <v>0</v>
      </c>
      <c r="W94" s="68">
        <f t="shared" si="30"/>
        <v>0</v>
      </c>
      <c r="X94" s="68">
        <f t="shared" si="30"/>
        <v>0</v>
      </c>
      <c r="Y94" s="68">
        <f t="shared" si="30"/>
        <v>0</v>
      </c>
      <c r="Z94" s="68">
        <f t="shared" si="30"/>
        <v>0</v>
      </c>
    </row>
    <row r="95" spans="1:26" x14ac:dyDescent="0.25">
      <c r="A95" s="67" t="s">
        <v>187</v>
      </c>
      <c r="B95" s="67"/>
      <c r="C95" s="67"/>
      <c r="D95" s="68">
        <f>E95+K95+S95+T95</f>
        <v>0</v>
      </c>
      <c r="E95" s="68"/>
      <c r="F95" s="69"/>
      <c r="G95" s="69"/>
      <c r="H95" s="181"/>
      <c r="I95" s="69"/>
      <c r="J95" s="181"/>
      <c r="K95" s="68"/>
      <c r="L95" s="181"/>
      <c r="M95" s="181"/>
      <c r="N95" s="69"/>
      <c r="O95" s="69"/>
      <c r="P95" s="69"/>
      <c r="Q95" s="181"/>
      <c r="R95" s="69"/>
      <c r="S95" s="69"/>
      <c r="T95" s="68"/>
      <c r="U95" s="69"/>
      <c r="V95" s="69"/>
      <c r="W95" s="69"/>
      <c r="X95" s="69"/>
      <c r="Y95" s="69"/>
      <c r="Z95" s="69"/>
    </row>
    <row r="96" spans="1:26" ht="25.5" x14ac:dyDescent="0.25">
      <c r="A96" s="67" t="s">
        <v>345</v>
      </c>
      <c r="B96" s="67">
        <v>261</v>
      </c>
      <c r="C96" s="67">
        <v>240</v>
      </c>
      <c r="D96" s="68">
        <f>E96+K96+S96+T96</f>
        <v>2260200</v>
      </c>
      <c r="E96" s="68">
        <f>SUM(F96:J96)</f>
        <v>1317800</v>
      </c>
      <c r="F96" s="68">
        <f>SUM(F98:F133)</f>
        <v>0</v>
      </c>
      <c r="G96" s="68">
        <f>SUM(G98:G133)</f>
        <v>0</v>
      </c>
      <c r="H96" s="180">
        <f>SUM(H98:H133)</f>
        <v>1187400</v>
      </c>
      <c r="I96" s="68">
        <f>SUM(I98:I133)</f>
        <v>0</v>
      </c>
      <c r="J96" s="180">
        <f>SUM(J98:J133)</f>
        <v>130400</v>
      </c>
      <c r="K96" s="68">
        <f>SUM(L96:R96)</f>
        <v>942400</v>
      </c>
      <c r="L96" s="180">
        <f t="shared" ref="L96:Q96" si="31">SUM(L98:L133)</f>
        <v>0</v>
      </c>
      <c r="M96" s="180">
        <f t="shared" si="31"/>
        <v>0</v>
      </c>
      <c r="N96" s="68">
        <f t="shared" si="31"/>
        <v>0</v>
      </c>
      <c r="O96" s="68">
        <f t="shared" si="31"/>
        <v>0</v>
      </c>
      <c r="P96" s="68">
        <f t="shared" si="31"/>
        <v>0</v>
      </c>
      <c r="Q96" s="180">
        <f t="shared" si="31"/>
        <v>942400</v>
      </c>
      <c r="R96" s="68">
        <f>SUM(R98:R133)</f>
        <v>0</v>
      </c>
      <c r="S96" s="68">
        <f>SUM(S98:S133)</f>
        <v>0</v>
      </c>
      <c r="T96" s="68">
        <f>SUM(U96:Z96)</f>
        <v>0</v>
      </c>
      <c r="U96" s="68">
        <f t="shared" ref="U96:Z96" si="32">SUM(U98:U133)</f>
        <v>0</v>
      </c>
      <c r="V96" s="68">
        <f t="shared" si="32"/>
        <v>0</v>
      </c>
      <c r="W96" s="68">
        <f t="shared" si="32"/>
        <v>0</v>
      </c>
      <c r="X96" s="68">
        <f t="shared" si="32"/>
        <v>0</v>
      </c>
      <c r="Y96" s="68">
        <f t="shared" si="32"/>
        <v>0</v>
      </c>
      <c r="Z96" s="68">
        <f t="shared" si="32"/>
        <v>0</v>
      </c>
    </row>
    <row r="97" spans="1:26" x14ac:dyDescent="0.25">
      <c r="A97" s="67" t="s">
        <v>185</v>
      </c>
      <c r="B97" s="67"/>
      <c r="C97" s="67"/>
      <c r="D97" s="68"/>
      <c r="E97" s="68"/>
      <c r="F97" s="69"/>
      <c r="G97" s="69"/>
      <c r="H97" s="181"/>
      <c r="I97" s="69"/>
      <c r="J97" s="181"/>
      <c r="K97" s="68"/>
      <c r="L97" s="181"/>
      <c r="M97" s="181"/>
      <c r="N97" s="69"/>
      <c r="O97" s="69"/>
      <c r="P97" s="69"/>
      <c r="Q97" s="181"/>
      <c r="R97" s="69"/>
      <c r="S97" s="69"/>
      <c r="T97" s="68"/>
      <c r="U97" s="69"/>
      <c r="V97" s="69"/>
      <c r="W97" s="69"/>
      <c r="X97" s="69"/>
      <c r="Y97" s="69"/>
      <c r="Z97" s="69"/>
    </row>
    <row r="98" spans="1:26" ht="38.25" hidden="1" x14ac:dyDescent="0.25">
      <c r="A98" s="67" t="s">
        <v>346</v>
      </c>
      <c r="B98" s="67">
        <v>261.10000000000002</v>
      </c>
      <c r="C98" s="67" t="s">
        <v>347</v>
      </c>
      <c r="D98" s="68">
        <f t="shared" ref="D98:D133" si="33">E98+K98+S98+T98</f>
        <v>0</v>
      </c>
      <c r="E98" s="68">
        <f t="shared" ref="E98:E133" si="34">SUM(F98:J98)</f>
        <v>0</v>
      </c>
      <c r="F98" s="69"/>
      <c r="G98" s="69"/>
      <c r="H98" s="181"/>
      <c r="I98" s="69"/>
      <c r="J98" s="181"/>
      <c r="K98" s="68">
        <f t="shared" ref="K98:K133" si="35">SUM(L98:R98)</f>
        <v>0</v>
      </c>
      <c r="L98" s="181"/>
      <c r="M98" s="181"/>
      <c r="N98" s="69"/>
      <c r="O98" s="69"/>
      <c r="P98" s="69"/>
      <c r="Q98" s="181"/>
      <c r="R98" s="69"/>
      <c r="S98" s="69"/>
      <c r="T98" s="68">
        <f>SUM(U98:Z98)</f>
        <v>0</v>
      </c>
      <c r="U98" s="69"/>
      <c r="V98" s="69"/>
      <c r="W98" s="69"/>
      <c r="X98" s="69"/>
      <c r="Y98" s="69"/>
      <c r="Z98" s="69"/>
    </row>
    <row r="99" spans="1:26" x14ac:dyDescent="0.25">
      <c r="A99" s="67" t="s">
        <v>348</v>
      </c>
      <c r="B99" s="67">
        <v>261.2</v>
      </c>
      <c r="C99" s="67" t="s">
        <v>349</v>
      </c>
      <c r="D99" s="68">
        <f t="shared" si="33"/>
        <v>0</v>
      </c>
      <c r="E99" s="68">
        <f t="shared" si="34"/>
        <v>0</v>
      </c>
      <c r="F99" s="69"/>
      <c r="G99" s="69"/>
      <c r="H99" s="181"/>
      <c r="I99" s="69"/>
      <c r="J99" s="181"/>
      <c r="K99" s="68">
        <f t="shared" si="35"/>
        <v>0</v>
      </c>
      <c r="L99" s="181"/>
      <c r="M99" s="181"/>
      <c r="N99" s="69"/>
      <c r="O99" s="69"/>
      <c r="P99" s="69"/>
      <c r="Q99" s="181"/>
      <c r="R99" s="69"/>
      <c r="S99" s="69"/>
      <c r="T99" s="68">
        <f>SUM(U99:Z99)</f>
        <v>0</v>
      </c>
      <c r="U99" s="69"/>
      <c r="V99" s="69"/>
      <c r="W99" s="69"/>
      <c r="X99" s="69"/>
      <c r="Y99" s="69"/>
      <c r="Z99" s="69"/>
    </row>
    <row r="100" spans="1:26" ht="76.5" hidden="1" x14ac:dyDescent="0.25">
      <c r="A100" s="67" t="s">
        <v>350</v>
      </c>
      <c r="B100" s="67">
        <v>261.3</v>
      </c>
      <c r="C100" s="67" t="s">
        <v>351</v>
      </c>
      <c r="D100" s="68">
        <f t="shared" si="33"/>
        <v>0</v>
      </c>
      <c r="E100" s="68">
        <f t="shared" si="34"/>
        <v>0</v>
      </c>
      <c r="F100" s="69"/>
      <c r="G100" s="69"/>
      <c r="H100" s="181"/>
      <c r="I100" s="69"/>
      <c r="J100" s="181"/>
      <c r="K100" s="68">
        <f t="shared" si="35"/>
        <v>0</v>
      </c>
      <c r="L100" s="181"/>
      <c r="M100" s="181"/>
      <c r="N100" s="69"/>
      <c r="O100" s="69"/>
      <c r="P100" s="69"/>
      <c r="Q100" s="181"/>
      <c r="R100" s="69"/>
      <c r="S100" s="69"/>
      <c r="T100" s="68">
        <f t="shared" ref="T100:T120" si="36">SUM(U100:Z100)</f>
        <v>0</v>
      </c>
      <c r="U100" s="69"/>
      <c r="V100" s="69"/>
      <c r="W100" s="69"/>
      <c r="X100" s="69"/>
      <c r="Y100" s="69"/>
      <c r="Z100" s="69"/>
    </row>
    <row r="101" spans="1:26" hidden="1" x14ac:dyDescent="0.25">
      <c r="A101" s="67" t="s">
        <v>352</v>
      </c>
      <c r="B101" s="67">
        <v>261.39999999999998</v>
      </c>
      <c r="C101" s="67" t="s">
        <v>353</v>
      </c>
      <c r="D101" s="68">
        <f t="shared" si="33"/>
        <v>0</v>
      </c>
      <c r="E101" s="68">
        <f t="shared" si="34"/>
        <v>0</v>
      </c>
      <c r="F101" s="69"/>
      <c r="G101" s="69"/>
      <c r="H101" s="181"/>
      <c r="I101" s="69"/>
      <c r="J101" s="181"/>
      <c r="K101" s="68">
        <f t="shared" si="35"/>
        <v>0</v>
      </c>
      <c r="L101" s="181"/>
      <c r="M101" s="181"/>
      <c r="N101" s="69"/>
      <c r="O101" s="69"/>
      <c r="P101" s="69"/>
      <c r="Q101" s="181"/>
      <c r="R101" s="69"/>
      <c r="S101" s="69"/>
      <c r="T101" s="68">
        <f t="shared" si="36"/>
        <v>0</v>
      </c>
      <c r="U101" s="69"/>
      <c r="V101" s="69"/>
      <c r="W101" s="69"/>
      <c r="X101" s="69"/>
      <c r="Y101" s="69"/>
      <c r="Z101" s="69"/>
    </row>
    <row r="102" spans="1:26" x14ac:dyDescent="0.25">
      <c r="A102" s="67" t="s">
        <v>354</v>
      </c>
      <c r="B102" s="67">
        <v>261.5</v>
      </c>
      <c r="C102" s="67" t="s">
        <v>580</v>
      </c>
      <c r="D102" s="68">
        <f t="shared" si="33"/>
        <v>17000</v>
      </c>
      <c r="E102" s="68">
        <f t="shared" si="34"/>
        <v>17000</v>
      </c>
      <c r="F102" s="69"/>
      <c r="G102" s="69"/>
      <c r="H102" s="181">
        <v>17000</v>
      </c>
      <c r="I102" s="69"/>
      <c r="J102" s="181"/>
      <c r="K102" s="68">
        <f t="shared" si="35"/>
        <v>0</v>
      </c>
      <c r="L102" s="181"/>
      <c r="M102" s="181"/>
      <c r="N102" s="69"/>
      <c r="O102" s="69"/>
      <c r="P102" s="69"/>
      <c r="Q102" s="181"/>
      <c r="R102" s="69"/>
      <c r="S102" s="69"/>
      <c r="T102" s="68">
        <f t="shared" si="36"/>
        <v>0</v>
      </c>
      <c r="U102" s="69"/>
      <c r="V102" s="69"/>
      <c r="W102" s="69"/>
      <c r="X102" s="69"/>
      <c r="Y102" s="69"/>
      <c r="Z102" s="69"/>
    </row>
    <row r="103" spans="1:26" x14ac:dyDescent="0.25">
      <c r="A103" s="67" t="s">
        <v>355</v>
      </c>
      <c r="B103" s="67">
        <v>261.60000000000002</v>
      </c>
      <c r="C103" s="67" t="s">
        <v>639</v>
      </c>
      <c r="D103" s="68">
        <f t="shared" si="33"/>
        <v>48000</v>
      </c>
      <c r="E103" s="68">
        <f t="shared" si="34"/>
        <v>48000</v>
      </c>
      <c r="F103" s="69"/>
      <c r="G103" s="69"/>
      <c r="H103" s="181">
        <v>48000</v>
      </c>
      <c r="I103" s="69"/>
      <c r="J103" s="181"/>
      <c r="K103" s="68">
        <f t="shared" si="35"/>
        <v>0</v>
      </c>
      <c r="L103" s="181"/>
      <c r="M103" s="181"/>
      <c r="N103" s="69"/>
      <c r="O103" s="69"/>
      <c r="P103" s="69"/>
      <c r="Q103" s="181"/>
      <c r="R103" s="69"/>
      <c r="S103" s="69"/>
      <c r="T103" s="68">
        <f t="shared" si="36"/>
        <v>0</v>
      </c>
      <c r="U103" s="69"/>
      <c r="V103" s="69"/>
      <c r="W103" s="69"/>
      <c r="X103" s="69"/>
      <c r="Y103" s="69"/>
      <c r="Z103" s="69"/>
    </row>
    <row r="104" spans="1:26" x14ac:dyDescent="0.25">
      <c r="A104" s="67" t="s">
        <v>310</v>
      </c>
      <c r="B104" s="67">
        <v>261.7</v>
      </c>
      <c r="C104" s="67" t="s">
        <v>581</v>
      </c>
      <c r="D104" s="68">
        <f t="shared" si="33"/>
        <v>942400</v>
      </c>
      <c r="E104" s="68">
        <f t="shared" si="34"/>
        <v>0</v>
      </c>
      <c r="F104" s="69"/>
      <c r="G104" s="69"/>
      <c r="H104" s="181"/>
      <c r="I104" s="69"/>
      <c r="J104" s="181"/>
      <c r="K104" s="68">
        <f t="shared" si="35"/>
        <v>942400</v>
      </c>
      <c r="L104" s="181"/>
      <c r="M104" s="181"/>
      <c r="N104" s="69"/>
      <c r="O104" s="69"/>
      <c r="P104" s="69"/>
      <c r="Q104" s="181">
        <v>942400</v>
      </c>
      <c r="R104" s="69"/>
      <c r="S104" s="69"/>
      <c r="T104" s="68">
        <f t="shared" si="36"/>
        <v>0</v>
      </c>
      <c r="U104" s="69"/>
      <c r="V104" s="69"/>
      <c r="W104" s="69"/>
      <c r="X104" s="69"/>
      <c r="Y104" s="69"/>
      <c r="Z104" s="69"/>
    </row>
    <row r="105" spans="1:26" ht="25.5" x14ac:dyDescent="0.25">
      <c r="A105" s="67" t="s">
        <v>356</v>
      </c>
      <c r="B105" s="67">
        <v>261.8</v>
      </c>
      <c r="C105" s="67" t="s">
        <v>582</v>
      </c>
      <c r="D105" s="68">
        <f t="shared" si="33"/>
        <v>571000</v>
      </c>
      <c r="E105" s="68">
        <f t="shared" si="34"/>
        <v>571000</v>
      </c>
      <c r="F105" s="69"/>
      <c r="G105" s="69"/>
      <c r="H105" s="181">
        <v>571000</v>
      </c>
      <c r="I105" s="69"/>
      <c r="J105" s="181"/>
      <c r="K105" s="68">
        <f t="shared" si="35"/>
        <v>0</v>
      </c>
      <c r="L105" s="181"/>
      <c r="M105" s="181"/>
      <c r="N105" s="69"/>
      <c r="O105" s="69"/>
      <c r="P105" s="69"/>
      <c r="Q105" s="181"/>
      <c r="R105" s="69"/>
      <c r="S105" s="69"/>
      <c r="T105" s="68">
        <f t="shared" si="36"/>
        <v>0</v>
      </c>
      <c r="U105" s="69"/>
      <c r="V105" s="69"/>
      <c r="W105" s="69"/>
      <c r="X105" s="69"/>
      <c r="Y105" s="69"/>
      <c r="Z105" s="69"/>
    </row>
    <row r="106" spans="1:26" ht="25.5" x14ac:dyDescent="0.25">
      <c r="A106" s="67" t="s">
        <v>357</v>
      </c>
      <c r="B106" s="67">
        <v>261.89999999999998</v>
      </c>
      <c r="C106" s="67" t="s">
        <v>583</v>
      </c>
      <c r="D106" s="68">
        <f t="shared" si="33"/>
        <v>182099.99999999997</v>
      </c>
      <c r="E106" s="68">
        <f t="shared" si="34"/>
        <v>182099.99999999997</v>
      </c>
      <c r="F106" s="69"/>
      <c r="G106" s="69"/>
      <c r="H106" s="181">
        <v>182099.99999999997</v>
      </c>
      <c r="I106" s="69"/>
      <c r="J106" s="181"/>
      <c r="K106" s="68">
        <f t="shared" si="35"/>
        <v>0</v>
      </c>
      <c r="L106" s="181"/>
      <c r="M106" s="181"/>
      <c r="N106" s="69"/>
      <c r="O106" s="69"/>
      <c r="P106" s="69"/>
      <c r="Q106" s="181"/>
      <c r="R106" s="69"/>
      <c r="S106" s="69"/>
      <c r="T106" s="68">
        <f t="shared" si="36"/>
        <v>0</v>
      </c>
      <c r="U106" s="69"/>
      <c r="V106" s="69"/>
      <c r="W106" s="69"/>
      <c r="X106" s="69"/>
      <c r="Y106" s="69"/>
      <c r="Z106" s="69"/>
    </row>
    <row r="107" spans="1:26" ht="38.25" x14ac:dyDescent="0.25">
      <c r="A107" s="67" t="s">
        <v>358</v>
      </c>
      <c r="B107" s="67">
        <v>261.10000000000002</v>
      </c>
      <c r="C107" s="67" t="s">
        <v>584</v>
      </c>
      <c r="D107" s="68">
        <f t="shared" si="33"/>
        <v>11600.000000000002</v>
      </c>
      <c r="E107" s="68">
        <f t="shared" si="34"/>
        <v>11600.000000000002</v>
      </c>
      <c r="F107" s="69"/>
      <c r="G107" s="69"/>
      <c r="H107" s="181">
        <v>11600.000000000002</v>
      </c>
      <c r="I107" s="69"/>
      <c r="J107" s="181"/>
      <c r="K107" s="68">
        <f t="shared" si="35"/>
        <v>0</v>
      </c>
      <c r="L107" s="181"/>
      <c r="M107" s="181"/>
      <c r="N107" s="69"/>
      <c r="O107" s="69"/>
      <c r="P107" s="69"/>
      <c r="Q107" s="181"/>
      <c r="R107" s="69"/>
      <c r="S107" s="69"/>
      <c r="T107" s="68">
        <f t="shared" si="36"/>
        <v>0</v>
      </c>
      <c r="U107" s="69"/>
      <c r="V107" s="69"/>
      <c r="W107" s="69"/>
      <c r="X107" s="69"/>
      <c r="Y107" s="69"/>
      <c r="Z107" s="69"/>
    </row>
    <row r="108" spans="1:26" ht="25.5" x14ac:dyDescent="0.25">
      <c r="A108" s="67" t="s">
        <v>359</v>
      </c>
      <c r="B108" s="67">
        <v>261.11</v>
      </c>
      <c r="C108" s="67" t="s">
        <v>585</v>
      </c>
      <c r="D108" s="68">
        <f t="shared" si="33"/>
        <v>13999.999999999996</v>
      </c>
      <c r="E108" s="68">
        <f t="shared" si="34"/>
        <v>13999.999999999996</v>
      </c>
      <c r="F108" s="69"/>
      <c r="G108" s="69"/>
      <c r="H108" s="181">
        <v>13999.999999999996</v>
      </c>
      <c r="I108" s="69"/>
      <c r="J108" s="181"/>
      <c r="K108" s="68">
        <f t="shared" si="35"/>
        <v>0</v>
      </c>
      <c r="L108" s="181"/>
      <c r="M108" s="181"/>
      <c r="N108" s="69"/>
      <c r="O108" s="69"/>
      <c r="P108" s="69"/>
      <c r="Q108" s="181"/>
      <c r="R108" s="69"/>
      <c r="S108" s="69"/>
      <c r="T108" s="68">
        <f t="shared" si="36"/>
        <v>0</v>
      </c>
      <c r="U108" s="69"/>
      <c r="V108" s="69"/>
      <c r="W108" s="69"/>
      <c r="X108" s="69"/>
      <c r="Y108" s="69"/>
      <c r="Z108" s="69"/>
    </row>
    <row r="109" spans="1:26" ht="25.5" hidden="1" x14ac:dyDescent="0.25">
      <c r="A109" s="67" t="s">
        <v>360</v>
      </c>
      <c r="B109" s="67">
        <v>261.12</v>
      </c>
      <c r="C109" s="67" t="s">
        <v>586</v>
      </c>
      <c r="D109" s="68">
        <f t="shared" si="33"/>
        <v>0</v>
      </c>
      <c r="E109" s="68">
        <f t="shared" si="34"/>
        <v>0</v>
      </c>
      <c r="F109" s="69"/>
      <c r="G109" s="69"/>
      <c r="H109" s="181"/>
      <c r="I109" s="69"/>
      <c r="J109" s="181"/>
      <c r="K109" s="68">
        <f t="shared" si="35"/>
        <v>0</v>
      </c>
      <c r="L109" s="181"/>
      <c r="M109" s="181"/>
      <c r="N109" s="69"/>
      <c r="O109" s="69"/>
      <c r="P109" s="69"/>
      <c r="Q109" s="181"/>
      <c r="R109" s="69"/>
      <c r="S109" s="69"/>
      <c r="T109" s="68">
        <f t="shared" si="36"/>
        <v>0</v>
      </c>
      <c r="U109" s="69"/>
      <c r="V109" s="69"/>
      <c r="W109" s="69"/>
      <c r="X109" s="69"/>
      <c r="Y109" s="69"/>
      <c r="Z109" s="69"/>
    </row>
    <row r="110" spans="1:26" x14ac:dyDescent="0.25">
      <c r="A110" s="67" t="s">
        <v>361</v>
      </c>
      <c r="B110" s="67">
        <v>261.13</v>
      </c>
      <c r="C110" s="67" t="s">
        <v>587</v>
      </c>
      <c r="D110" s="68">
        <f t="shared" si="33"/>
        <v>0</v>
      </c>
      <c r="E110" s="68">
        <f t="shared" si="34"/>
        <v>0</v>
      </c>
      <c r="F110" s="69"/>
      <c r="G110" s="69"/>
      <c r="H110" s="181"/>
      <c r="I110" s="69"/>
      <c r="J110" s="181"/>
      <c r="K110" s="68">
        <f t="shared" si="35"/>
        <v>0</v>
      </c>
      <c r="L110" s="181"/>
      <c r="M110" s="181"/>
      <c r="N110" s="69"/>
      <c r="O110" s="69"/>
      <c r="P110" s="69"/>
      <c r="Q110" s="181"/>
      <c r="R110" s="69"/>
      <c r="S110" s="69"/>
      <c r="T110" s="68">
        <f t="shared" si="36"/>
        <v>0</v>
      </c>
      <c r="U110" s="69"/>
      <c r="V110" s="69"/>
      <c r="W110" s="69"/>
      <c r="X110" s="69"/>
      <c r="Y110" s="69"/>
      <c r="Z110" s="69"/>
    </row>
    <row r="111" spans="1:26" ht="51" x14ac:dyDescent="0.25">
      <c r="A111" s="67" t="s">
        <v>362</v>
      </c>
      <c r="B111" s="67">
        <v>261.14</v>
      </c>
      <c r="C111" s="67" t="s">
        <v>588</v>
      </c>
      <c r="D111" s="68">
        <f t="shared" si="33"/>
        <v>0</v>
      </c>
      <c r="E111" s="68">
        <f t="shared" si="34"/>
        <v>0</v>
      </c>
      <c r="F111" s="69"/>
      <c r="G111" s="69"/>
      <c r="H111" s="181"/>
      <c r="I111" s="69"/>
      <c r="J111" s="181"/>
      <c r="K111" s="68">
        <f t="shared" si="35"/>
        <v>0</v>
      </c>
      <c r="L111" s="181"/>
      <c r="M111" s="181"/>
      <c r="N111" s="69"/>
      <c r="O111" s="69"/>
      <c r="P111" s="69"/>
      <c r="Q111" s="181"/>
      <c r="R111" s="69"/>
      <c r="S111" s="69"/>
      <c r="T111" s="68">
        <f t="shared" si="36"/>
        <v>0</v>
      </c>
      <c r="U111" s="69"/>
      <c r="V111" s="69"/>
      <c r="W111" s="69"/>
      <c r="X111" s="69"/>
      <c r="Y111" s="69"/>
      <c r="Z111" s="69"/>
    </row>
    <row r="112" spans="1:26" ht="38.25" x14ac:dyDescent="0.25">
      <c r="A112" s="67" t="s">
        <v>363</v>
      </c>
      <c r="B112" s="67">
        <v>261.14999999999998</v>
      </c>
      <c r="C112" s="67" t="s">
        <v>589</v>
      </c>
      <c r="D112" s="68">
        <f t="shared" si="33"/>
        <v>90800</v>
      </c>
      <c r="E112" s="68">
        <f t="shared" si="34"/>
        <v>90800</v>
      </c>
      <c r="F112" s="69"/>
      <c r="G112" s="69"/>
      <c r="H112" s="181">
        <v>90800</v>
      </c>
      <c r="I112" s="69"/>
      <c r="J112" s="181"/>
      <c r="K112" s="68">
        <f t="shared" si="35"/>
        <v>0</v>
      </c>
      <c r="L112" s="181"/>
      <c r="M112" s="181"/>
      <c r="N112" s="69"/>
      <c r="O112" s="69"/>
      <c r="P112" s="69"/>
      <c r="Q112" s="181"/>
      <c r="R112" s="69"/>
      <c r="S112" s="69"/>
      <c r="T112" s="68">
        <f t="shared" si="36"/>
        <v>0</v>
      </c>
      <c r="U112" s="69"/>
      <c r="V112" s="69"/>
      <c r="W112" s="69"/>
      <c r="X112" s="69"/>
      <c r="Y112" s="69"/>
      <c r="Z112" s="69"/>
    </row>
    <row r="113" spans="1:26" ht="140.25" hidden="1" x14ac:dyDescent="0.25">
      <c r="A113" s="67" t="s">
        <v>364</v>
      </c>
      <c r="B113" s="67">
        <v>261.16000000000003</v>
      </c>
      <c r="C113" s="67" t="s">
        <v>365</v>
      </c>
      <c r="D113" s="68">
        <f t="shared" si="33"/>
        <v>0</v>
      </c>
      <c r="E113" s="68">
        <f t="shared" si="34"/>
        <v>0</v>
      </c>
      <c r="F113" s="69"/>
      <c r="G113" s="69"/>
      <c r="H113" s="181"/>
      <c r="I113" s="69"/>
      <c r="J113" s="181"/>
      <c r="K113" s="68">
        <f t="shared" si="35"/>
        <v>0</v>
      </c>
      <c r="L113" s="181"/>
      <c r="M113" s="181"/>
      <c r="N113" s="69"/>
      <c r="O113" s="69"/>
      <c r="P113" s="69"/>
      <c r="Q113" s="181"/>
      <c r="R113" s="69"/>
      <c r="S113" s="69"/>
      <c r="T113" s="68">
        <f t="shared" si="36"/>
        <v>0</v>
      </c>
      <c r="U113" s="69"/>
      <c r="V113" s="69"/>
      <c r="W113" s="69"/>
      <c r="X113" s="69"/>
      <c r="Y113" s="69"/>
      <c r="Z113" s="69"/>
    </row>
    <row r="114" spans="1:26" ht="25.5" x14ac:dyDescent="0.25">
      <c r="A114" s="67" t="s">
        <v>366</v>
      </c>
      <c r="B114" s="67">
        <v>261.17</v>
      </c>
      <c r="C114" s="67" t="s">
        <v>590</v>
      </c>
      <c r="D114" s="68">
        <f t="shared" si="33"/>
        <v>92400</v>
      </c>
      <c r="E114" s="68">
        <f t="shared" si="34"/>
        <v>92400</v>
      </c>
      <c r="F114" s="69"/>
      <c r="G114" s="69"/>
      <c r="H114" s="181">
        <v>92400</v>
      </c>
      <c r="I114" s="69"/>
      <c r="J114" s="181"/>
      <c r="K114" s="68">
        <f t="shared" si="35"/>
        <v>0</v>
      </c>
      <c r="L114" s="181"/>
      <c r="M114" s="181"/>
      <c r="N114" s="69"/>
      <c r="O114" s="69"/>
      <c r="P114" s="69"/>
      <c r="Q114" s="181"/>
      <c r="R114" s="69"/>
      <c r="S114" s="69"/>
      <c r="T114" s="68">
        <f t="shared" si="36"/>
        <v>0</v>
      </c>
      <c r="U114" s="69"/>
      <c r="V114" s="69"/>
      <c r="W114" s="69"/>
      <c r="X114" s="69"/>
      <c r="Y114" s="69"/>
      <c r="Z114" s="69"/>
    </row>
    <row r="115" spans="1:26" ht="114.75" x14ac:dyDescent="0.25">
      <c r="A115" s="67" t="s">
        <v>367</v>
      </c>
      <c r="B115" s="67">
        <v>261.18</v>
      </c>
      <c r="C115" s="67" t="s">
        <v>591</v>
      </c>
      <c r="D115" s="68">
        <f t="shared" si="33"/>
        <v>0</v>
      </c>
      <c r="E115" s="68">
        <f t="shared" si="34"/>
        <v>0</v>
      </c>
      <c r="F115" s="69"/>
      <c r="G115" s="69"/>
      <c r="H115" s="181"/>
      <c r="I115" s="69"/>
      <c r="J115" s="181"/>
      <c r="K115" s="68">
        <f t="shared" si="35"/>
        <v>0</v>
      </c>
      <c r="L115" s="181"/>
      <c r="M115" s="181"/>
      <c r="N115" s="69"/>
      <c r="O115" s="69"/>
      <c r="P115" s="69"/>
      <c r="Q115" s="181"/>
      <c r="R115" s="69"/>
      <c r="S115" s="69"/>
      <c r="T115" s="68">
        <f t="shared" si="36"/>
        <v>0</v>
      </c>
      <c r="U115" s="69"/>
      <c r="V115" s="69"/>
      <c r="W115" s="69"/>
      <c r="X115" s="69"/>
      <c r="Y115" s="69"/>
      <c r="Z115" s="69"/>
    </row>
    <row r="116" spans="1:26" ht="89.25" hidden="1" x14ac:dyDescent="0.25">
      <c r="A116" s="67" t="s">
        <v>368</v>
      </c>
      <c r="B116" s="67">
        <v>261.19</v>
      </c>
      <c r="C116" s="67" t="s">
        <v>592</v>
      </c>
      <c r="D116" s="68">
        <f t="shared" si="33"/>
        <v>0</v>
      </c>
      <c r="E116" s="68">
        <f t="shared" si="34"/>
        <v>0</v>
      </c>
      <c r="F116" s="69"/>
      <c r="G116" s="69"/>
      <c r="H116" s="181"/>
      <c r="I116" s="69"/>
      <c r="J116" s="181"/>
      <c r="K116" s="68">
        <f t="shared" si="35"/>
        <v>0</v>
      </c>
      <c r="L116" s="181"/>
      <c r="M116" s="181"/>
      <c r="N116" s="69"/>
      <c r="O116" s="69"/>
      <c r="P116" s="69"/>
      <c r="Q116" s="181"/>
      <c r="R116" s="69"/>
      <c r="S116" s="69"/>
      <c r="T116" s="68">
        <f t="shared" si="36"/>
        <v>0</v>
      </c>
      <c r="U116" s="69"/>
      <c r="V116" s="69"/>
      <c r="W116" s="69"/>
      <c r="X116" s="69"/>
      <c r="Y116" s="69"/>
      <c r="Z116" s="69"/>
    </row>
    <row r="117" spans="1:26" ht="38.25" x14ac:dyDescent="0.25">
      <c r="A117" s="67" t="s">
        <v>369</v>
      </c>
      <c r="B117" s="67">
        <v>261.2</v>
      </c>
      <c r="C117" s="67" t="s">
        <v>593</v>
      </c>
      <c r="D117" s="68">
        <f t="shared" si="33"/>
        <v>139300</v>
      </c>
      <c r="E117" s="68">
        <f t="shared" si="34"/>
        <v>139300</v>
      </c>
      <c r="F117" s="69"/>
      <c r="G117" s="69"/>
      <c r="H117" s="181">
        <v>8900</v>
      </c>
      <c r="I117" s="69"/>
      <c r="J117" s="181">
        <v>130400</v>
      </c>
      <c r="K117" s="68">
        <f t="shared" si="35"/>
        <v>0</v>
      </c>
      <c r="L117" s="181"/>
      <c r="M117" s="181"/>
      <c r="N117" s="69"/>
      <c r="O117" s="69"/>
      <c r="P117" s="69"/>
      <c r="Q117" s="181"/>
      <c r="R117" s="69"/>
      <c r="S117" s="69"/>
      <c r="T117" s="68">
        <f t="shared" si="36"/>
        <v>0</v>
      </c>
      <c r="U117" s="69"/>
      <c r="V117" s="69"/>
      <c r="W117" s="69"/>
      <c r="X117" s="69"/>
      <c r="Y117" s="69"/>
      <c r="Z117" s="69"/>
    </row>
    <row r="118" spans="1:26" hidden="1" x14ac:dyDescent="0.25">
      <c r="A118" s="67" t="s">
        <v>370</v>
      </c>
      <c r="B118" s="67">
        <v>261.20999999999998</v>
      </c>
      <c r="C118" s="67" t="s">
        <v>371</v>
      </c>
      <c r="D118" s="68">
        <f t="shared" si="33"/>
        <v>0</v>
      </c>
      <c r="E118" s="68">
        <f t="shared" si="34"/>
        <v>0</v>
      </c>
      <c r="F118" s="69"/>
      <c r="G118" s="69"/>
      <c r="H118" s="181"/>
      <c r="I118" s="69"/>
      <c r="J118" s="181"/>
      <c r="K118" s="68">
        <f t="shared" si="35"/>
        <v>0</v>
      </c>
      <c r="L118" s="181"/>
      <c r="M118" s="181"/>
      <c r="N118" s="69"/>
      <c r="O118" s="69"/>
      <c r="P118" s="69"/>
      <c r="Q118" s="181"/>
      <c r="R118" s="69"/>
      <c r="S118" s="69"/>
      <c r="T118" s="68">
        <f t="shared" si="36"/>
        <v>0</v>
      </c>
      <c r="U118" s="69"/>
      <c r="V118" s="69"/>
      <c r="W118" s="69"/>
      <c r="X118" s="69"/>
      <c r="Y118" s="69"/>
      <c r="Z118" s="69"/>
    </row>
    <row r="119" spans="1:26" ht="38.25" x14ac:dyDescent="0.25">
      <c r="A119" s="67" t="s">
        <v>372</v>
      </c>
      <c r="B119" s="67">
        <v>261.22000000000003</v>
      </c>
      <c r="C119" s="67" t="s">
        <v>594</v>
      </c>
      <c r="D119" s="68">
        <f t="shared" si="33"/>
        <v>5000</v>
      </c>
      <c r="E119" s="68">
        <f t="shared" si="34"/>
        <v>5000</v>
      </c>
      <c r="F119" s="69"/>
      <c r="G119" s="69"/>
      <c r="H119" s="181">
        <v>5000</v>
      </c>
      <c r="I119" s="69"/>
      <c r="J119" s="181"/>
      <c r="K119" s="68">
        <f t="shared" si="35"/>
        <v>0</v>
      </c>
      <c r="L119" s="181"/>
      <c r="M119" s="181"/>
      <c r="N119" s="69"/>
      <c r="O119" s="69"/>
      <c r="P119" s="69"/>
      <c r="Q119" s="181"/>
      <c r="R119" s="69"/>
      <c r="S119" s="69"/>
      <c r="T119" s="68">
        <f t="shared" si="36"/>
        <v>0</v>
      </c>
      <c r="U119" s="69"/>
      <c r="V119" s="69"/>
      <c r="W119" s="69"/>
      <c r="X119" s="69"/>
      <c r="Y119" s="69"/>
      <c r="Z119" s="69"/>
    </row>
    <row r="120" spans="1:26" ht="25.5" x14ac:dyDescent="0.25">
      <c r="A120" s="67" t="s">
        <v>373</v>
      </c>
      <c r="B120" s="67">
        <v>261.23</v>
      </c>
      <c r="C120" s="67" t="s">
        <v>595</v>
      </c>
      <c r="D120" s="68">
        <f t="shared" si="33"/>
        <v>10600</v>
      </c>
      <c r="E120" s="68">
        <f t="shared" si="34"/>
        <v>10600</v>
      </c>
      <c r="F120" s="69"/>
      <c r="G120" s="69"/>
      <c r="H120" s="181">
        <v>10600</v>
      </c>
      <c r="I120" s="69"/>
      <c r="J120" s="181"/>
      <c r="K120" s="68">
        <f t="shared" si="35"/>
        <v>0</v>
      </c>
      <c r="L120" s="181"/>
      <c r="M120" s="181"/>
      <c r="N120" s="69"/>
      <c r="O120" s="69"/>
      <c r="P120" s="69"/>
      <c r="Q120" s="181"/>
      <c r="R120" s="69"/>
      <c r="S120" s="69"/>
      <c r="T120" s="68">
        <f t="shared" si="36"/>
        <v>0</v>
      </c>
      <c r="U120" s="69"/>
      <c r="V120" s="69"/>
      <c r="W120" s="69"/>
      <c r="X120" s="69"/>
      <c r="Y120" s="69"/>
      <c r="Z120" s="69"/>
    </row>
    <row r="121" spans="1:26" ht="178.5" hidden="1" x14ac:dyDescent="0.25">
      <c r="A121" s="67" t="s">
        <v>374</v>
      </c>
      <c r="B121" s="67">
        <v>261.24</v>
      </c>
      <c r="C121" s="67" t="s">
        <v>375</v>
      </c>
      <c r="D121" s="68">
        <f t="shared" si="33"/>
        <v>0</v>
      </c>
      <c r="E121" s="68">
        <f t="shared" si="34"/>
        <v>0</v>
      </c>
      <c r="F121" s="69"/>
      <c r="G121" s="69"/>
      <c r="H121" s="181"/>
      <c r="I121" s="69"/>
      <c r="J121" s="181"/>
      <c r="K121" s="68">
        <f t="shared" si="35"/>
        <v>0</v>
      </c>
      <c r="L121" s="181"/>
      <c r="M121" s="181"/>
      <c r="N121" s="69"/>
      <c r="O121" s="69"/>
      <c r="P121" s="69"/>
      <c r="Q121" s="181"/>
      <c r="R121" s="69"/>
      <c r="S121" s="69"/>
      <c r="T121" s="68">
        <f t="shared" ref="T121:T133" si="37">SUM(U121:Z121)</f>
        <v>0</v>
      </c>
      <c r="U121" s="69"/>
      <c r="V121" s="69"/>
      <c r="W121" s="69"/>
      <c r="X121" s="69"/>
      <c r="Y121" s="69"/>
      <c r="Z121" s="69"/>
    </row>
    <row r="122" spans="1:26" ht="51" x14ac:dyDescent="0.25">
      <c r="A122" s="67" t="s">
        <v>376</v>
      </c>
      <c r="B122" s="67">
        <v>261.25</v>
      </c>
      <c r="C122" s="67" t="s">
        <v>596</v>
      </c>
      <c r="D122" s="68">
        <f t="shared" si="33"/>
        <v>21000</v>
      </c>
      <c r="E122" s="68">
        <f t="shared" si="34"/>
        <v>21000</v>
      </c>
      <c r="F122" s="69"/>
      <c r="G122" s="69"/>
      <c r="H122" s="181">
        <v>21000</v>
      </c>
      <c r="I122" s="69"/>
      <c r="J122" s="181"/>
      <c r="K122" s="68">
        <f t="shared" si="35"/>
        <v>0</v>
      </c>
      <c r="L122" s="181"/>
      <c r="M122" s="181"/>
      <c r="N122" s="69"/>
      <c r="O122" s="69"/>
      <c r="P122" s="69"/>
      <c r="Q122" s="181"/>
      <c r="R122" s="69"/>
      <c r="S122" s="69"/>
      <c r="T122" s="68">
        <f t="shared" si="37"/>
        <v>0</v>
      </c>
      <c r="U122" s="69"/>
      <c r="V122" s="69"/>
      <c r="W122" s="69"/>
      <c r="X122" s="69"/>
      <c r="Y122" s="69"/>
      <c r="Z122" s="69"/>
    </row>
    <row r="123" spans="1:26" x14ac:dyDescent="0.25">
      <c r="A123" s="67" t="s">
        <v>377</v>
      </c>
      <c r="B123" s="67">
        <v>261.26</v>
      </c>
      <c r="C123" s="67" t="s">
        <v>597</v>
      </c>
      <c r="D123" s="68">
        <f t="shared" si="33"/>
        <v>115000</v>
      </c>
      <c r="E123" s="68">
        <f t="shared" si="34"/>
        <v>115000</v>
      </c>
      <c r="F123" s="69"/>
      <c r="G123" s="69"/>
      <c r="H123" s="181">
        <v>115000</v>
      </c>
      <c r="I123" s="69"/>
      <c r="J123" s="181"/>
      <c r="K123" s="68">
        <f t="shared" si="35"/>
        <v>0</v>
      </c>
      <c r="L123" s="181"/>
      <c r="M123" s="181"/>
      <c r="N123" s="69"/>
      <c r="O123" s="69"/>
      <c r="P123" s="69"/>
      <c r="Q123" s="181"/>
      <c r="R123" s="69"/>
      <c r="S123" s="69"/>
      <c r="T123" s="68">
        <f t="shared" si="37"/>
        <v>0</v>
      </c>
      <c r="U123" s="69"/>
      <c r="V123" s="69"/>
      <c r="W123" s="69"/>
      <c r="X123" s="69"/>
      <c r="Y123" s="69"/>
      <c r="Z123" s="69"/>
    </row>
    <row r="124" spans="1:26" ht="38.25" hidden="1" x14ac:dyDescent="0.25">
      <c r="A124" s="67" t="s">
        <v>378</v>
      </c>
      <c r="B124" s="67">
        <v>261.27</v>
      </c>
      <c r="C124" s="67" t="s">
        <v>379</v>
      </c>
      <c r="D124" s="68">
        <f t="shared" si="33"/>
        <v>0</v>
      </c>
      <c r="E124" s="68">
        <f t="shared" si="34"/>
        <v>0</v>
      </c>
      <c r="F124" s="69"/>
      <c r="G124" s="69"/>
      <c r="H124" s="69"/>
      <c r="I124" s="69"/>
      <c r="J124" s="69"/>
      <c r="K124" s="68">
        <f t="shared" si="35"/>
        <v>0</v>
      </c>
      <c r="L124" s="69"/>
      <c r="M124" s="69"/>
      <c r="N124" s="69"/>
      <c r="O124" s="69"/>
      <c r="P124" s="69"/>
      <c r="Q124" s="69"/>
      <c r="R124" s="69"/>
      <c r="S124" s="69"/>
      <c r="T124" s="68">
        <f t="shared" si="37"/>
        <v>0</v>
      </c>
      <c r="U124" s="69"/>
      <c r="V124" s="69"/>
      <c r="W124" s="69"/>
      <c r="X124" s="69"/>
      <c r="Y124" s="69"/>
      <c r="Z124" s="69"/>
    </row>
    <row r="125" spans="1:26" ht="63.75" hidden="1" x14ac:dyDescent="0.25">
      <c r="A125" s="67" t="s">
        <v>380</v>
      </c>
      <c r="B125" s="67">
        <v>261.27999999999997</v>
      </c>
      <c r="C125" s="67" t="s">
        <v>598</v>
      </c>
      <c r="D125" s="68">
        <f t="shared" si="33"/>
        <v>0</v>
      </c>
      <c r="E125" s="68">
        <f t="shared" si="34"/>
        <v>0</v>
      </c>
      <c r="F125" s="69"/>
      <c r="G125" s="69"/>
      <c r="H125" s="69"/>
      <c r="I125" s="69"/>
      <c r="J125" s="69"/>
      <c r="K125" s="68">
        <f t="shared" si="35"/>
        <v>0</v>
      </c>
      <c r="L125" s="69"/>
      <c r="M125" s="69"/>
      <c r="N125" s="69"/>
      <c r="O125" s="69"/>
      <c r="P125" s="69"/>
      <c r="Q125" s="69"/>
      <c r="R125" s="69"/>
      <c r="S125" s="69"/>
      <c r="T125" s="68">
        <f t="shared" si="37"/>
        <v>0</v>
      </c>
      <c r="U125" s="69"/>
      <c r="V125" s="69"/>
      <c r="W125" s="69"/>
      <c r="X125" s="69"/>
      <c r="Y125" s="69"/>
      <c r="Z125" s="69"/>
    </row>
    <row r="126" spans="1:26" hidden="1" x14ac:dyDescent="0.25">
      <c r="A126" s="67" t="s">
        <v>381</v>
      </c>
      <c r="B126" s="67">
        <v>261.29000000000002</v>
      </c>
      <c r="C126" s="67" t="s">
        <v>382</v>
      </c>
      <c r="D126" s="68">
        <f t="shared" si="33"/>
        <v>0</v>
      </c>
      <c r="E126" s="68">
        <f t="shared" si="34"/>
        <v>0</v>
      </c>
      <c r="F126" s="69"/>
      <c r="G126" s="69"/>
      <c r="H126" s="69"/>
      <c r="I126" s="69"/>
      <c r="J126" s="69"/>
      <c r="K126" s="68">
        <f t="shared" si="35"/>
        <v>0</v>
      </c>
      <c r="L126" s="69"/>
      <c r="M126" s="69"/>
      <c r="N126" s="69"/>
      <c r="O126" s="69"/>
      <c r="P126" s="69"/>
      <c r="Q126" s="69"/>
      <c r="R126" s="69"/>
      <c r="S126" s="69"/>
      <c r="T126" s="68">
        <f t="shared" si="37"/>
        <v>0</v>
      </c>
      <c r="U126" s="69"/>
      <c r="V126" s="69"/>
      <c r="W126" s="69"/>
      <c r="X126" s="69"/>
      <c r="Y126" s="69"/>
      <c r="Z126" s="69"/>
    </row>
    <row r="127" spans="1:26" ht="25.5" hidden="1" x14ac:dyDescent="0.25">
      <c r="A127" s="67" t="s">
        <v>383</v>
      </c>
      <c r="B127" s="67">
        <v>261.3</v>
      </c>
      <c r="C127" s="67" t="s">
        <v>599</v>
      </c>
      <c r="D127" s="68">
        <f t="shared" si="33"/>
        <v>0</v>
      </c>
      <c r="E127" s="68">
        <f t="shared" si="34"/>
        <v>0</v>
      </c>
      <c r="F127" s="69"/>
      <c r="G127" s="69"/>
      <c r="H127" s="69"/>
      <c r="I127" s="69"/>
      <c r="J127" s="69"/>
      <c r="K127" s="68">
        <f t="shared" si="35"/>
        <v>0</v>
      </c>
      <c r="L127" s="69"/>
      <c r="M127" s="69"/>
      <c r="N127" s="69"/>
      <c r="O127" s="69"/>
      <c r="P127" s="69"/>
      <c r="Q127" s="69"/>
      <c r="R127" s="69"/>
      <c r="S127" s="69"/>
      <c r="T127" s="68">
        <f t="shared" si="37"/>
        <v>0</v>
      </c>
      <c r="U127" s="69"/>
      <c r="V127" s="69"/>
      <c r="W127" s="69"/>
      <c r="X127" s="69"/>
      <c r="Y127" s="69"/>
      <c r="Z127" s="69"/>
    </row>
    <row r="128" spans="1:26" ht="25.5" hidden="1" x14ac:dyDescent="0.25">
      <c r="A128" s="67" t="s">
        <v>384</v>
      </c>
      <c r="B128" s="67">
        <v>261.31</v>
      </c>
      <c r="C128" s="67" t="s">
        <v>385</v>
      </c>
      <c r="D128" s="68">
        <f t="shared" si="33"/>
        <v>0</v>
      </c>
      <c r="E128" s="68">
        <f t="shared" si="34"/>
        <v>0</v>
      </c>
      <c r="F128" s="69"/>
      <c r="G128" s="69"/>
      <c r="H128" s="69"/>
      <c r="I128" s="69"/>
      <c r="J128" s="69"/>
      <c r="K128" s="68">
        <f t="shared" si="35"/>
        <v>0</v>
      </c>
      <c r="L128" s="69"/>
      <c r="M128" s="69"/>
      <c r="N128" s="69"/>
      <c r="O128" s="69"/>
      <c r="P128" s="69"/>
      <c r="Q128" s="69"/>
      <c r="R128" s="69"/>
      <c r="S128" s="69"/>
      <c r="T128" s="68">
        <f t="shared" si="37"/>
        <v>0</v>
      </c>
      <c r="U128" s="69"/>
      <c r="V128" s="69"/>
      <c r="W128" s="69"/>
      <c r="X128" s="69"/>
      <c r="Y128" s="69"/>
      <c r="Z128" s="69"/>
    </row>
    <row r="129" spans="1:26" ht="25.5" hidden="1" x14ac:dyDescent="0.25">
      <c r="A129" s="67" t="s">
        <v>386</v>
      </c>
      <c r="B129" s="67">
        <v>261.32</v>
      </c>
      <c r="C129" s="67" t="s">
        <v>600</v>
      </c>
      <c r="D129" s="68">
        <f t="shared" si="33"/>
        <v>0</v>
      </c>
      <c r="E129" s="68">
        <f t="shared" si="34"/>
        <v>0</v>
      </c>
      <c r="F129" s="69"/>
      <c r="G129" s="69"/>
      <c r="H129" s="69"/>
      <c r="I129" s="69"/>
      <c r="J129" s="69"/>
      <c r="K129" s="68">
        <f t="shared" si="35"/>
        <v>0</v>
      </c>
      <c r="L129" s="69"/>
      <c r="M129" s="69"/>
      <c r="N129" s="69"/>
      <c r="O129" s="69"/>
      <c r="P129" s="69"/>
      <c r="Q129" s="69"/>
      <c r="R129" s="69"/>
      <c r="S129" s="69"/>
      <c r="T129" s="68">
        <f t="shared" si="37"/>
        <v>0</v>
      </c>
      <c r="U129" s="69"/>
      <c r="V129" s="69"/>
      <c r="W129" s="69"/>
      <c r="X129" s="69"/>
      <c r="Y129" s="69"/>
      <c r="Z129" s="69"/>
    </row>
    <row r="130" spans="1:26" ht="25.5" hidden="1" x14ac:dyDescent="0.25">
      <c r="A130" s="67" t="s">
        <v>387</v>
      </c>
      <c r="B130" s="67">
        <v>261.33</v>
      </c>
      <c r="C130" s="67" t="s">
        <v>601</v>
      </c>
      <c r="D130" s="68">
        <f t="shared" si="33"/>
        <v>0</v>
      </c>
      <c r="E130" s="68">
        <f t="shared" si="34"/>
        <v>0</v>
      </c>
      <c r="F130" s="69"/>
      <c r="G130" s="69"/>
      <c r="H130" s="69"/>
      <c r="I130" s="69"/>
      <c r="J130" s="69"/>
      <c r="K130" s="68">
        <f t="shared" si="35"/>
        <v>0</v>
      </c>
      <c r="L130" s="69"/>
      <c r="M130" s="69"/>
      <c r="N130" s="69"/>
      <c r="O130" s="69"/>
      <c r="P130" s="69"/>
      <c r="Q130" s="69"/>
      <c r="R130" s="69"/>
      <c r="S130" s="69"/>
      <c r="T130" s="68">
        <f t="shared" si="37"/>
        <v>0</v>
      </c>
      <c r="U130" s="69"/>
      <c r="V130" s="69"/>
      <c r="W130" s="69"/>
      <c r="X130" s="69"/>
      <c r="Y130" s="69"/>
      <c r="Z130" s="69"/>
    </row>
    <row r="131" spans="1:26" ht="25.5" hidden="1" x14ac:dyDescent="0.25">
      <c r="A131" s="67" t="s">
        <v>388</v>
      </c>
      <c r="B131" s="67">
        <v>261.33999999999997</v>
      </c>
      <c r="C131" s="67" t="s">
        <v>389</v>
      </c>
      <c r="D131" s="68">
        <f t="shared" si="33"/>
        <v>0</v>
      </c>
      <c r="E131" s="68">
        <f t="shared" si="34"/>
        <v>0</v>
      </c>
      <c r="F131" s="69"/>
      <c r="G131" s="69"/>
      <c r="H131" s="69"/>
      <c r="I131" s="69"/>
      <c r="J131" s="69"/>
      <c r="K131" s="68">
        <f t="shared" si="35"/>
        <v>0</v>
      </c>
      <c r="L131" s="69"/>
      <c r="M131" s="69"/>
      <c r="N131" s="69"/>
      <c r="O131" s="69"/>
      <c r="P131" s="69"/>
      <c r="Q131" s="69"/>
      <c r="R131" s="69"/>
      <c r="S131" s="69"/>
      <c r="T131" s="68">
        <f t="shared" si="37"/>
        <v>0</v>
      </c>
      <c r="U131" s="69"/>
      <c r="V131" s="69"/>
      <c r="W131" s="69"/>
      <c r="X131" s="69"/>
      <c r="Y131" s="69"/>
      <c r="Z131" s="69"/>
    </row>
    <row r="132" spans="1:26" ht="25.5" hidden="1" x14ac:dyDescent="0.25">
      <c r="A132" s="67" t="s">
        <v>390</v>
      </c>
      <c r="B132" s="67">
        <v>261.35000000000002</v>
      </c>
      <c r="C132" s="67" t="s">
        <v>391</v>
      </c>
      <c r="D132" s="68">
        <f t="shared" si="33"/>
        <v>0</v>
      </c>
      <c r="E132" s="68">
        <f t="shared" si="34"/>
        <v>0</v>
      </c>
      <c r="F132" s="69"/>
      <c r="G132" s="69"/>
      <c r="H132" s="69"/>
      <c r="I132" s="69"/>
      <c r="J132" s="69"/>
      <c r="K132" s="68">
        <f t="shared" si="35"/>
        <v>0</v>
      </c>
      <c r="L132" s="69"/>
      <c r="M132" s="69"/>
      <c r="N132" s="69"/>
      <c r="O132" s="69"/>
      <c r="P132" s="69"/>
      <c r="Q132" s="69"/>
      <c r="R132" s="69"/>
      <c r="S132" s="69"/>
      <c r="T132" s="68">
        <f t="shared" si="37"/>
        <v>0</v>
      </c>
      <c r="U132" s="69"/>
      <c r="V132" s="69"/>
      <c r="W132" s="69"/>
      <c r="X132" s="69"/>
      <c r="Y132" s="69"/>
      <c r="Z132" s="69"/>
    </row>
    <row r="133" spans="1:26" ht="25.5" x14ac:dyDescent="0.25">
      <c r="A133" s="67" t="s">
        <v>392</v>
      </c>
      <c r="B133" s="67">
        <v>261.36</v>
      </c>
      <c r="C133" s="67" t="s">
        <v>602</v>
      </c>
      <c r="D133" s="68">
        <f t="shared" si="33"/>
        <v>0</v>
      </c>
      <c r="E133" s="68">
        <f t="shared" si="34"/>
        <v>0</v>
      </c>
      <c r="F133" s="69"/>
      <c r="G133" s="69"/>
      <c r="H133" s="69"/>
      <c r="I133" s="69"/>
      <c r="J133" s="69"/>
      <c r="K133" s="68">
        <f t="shared" si="35"/>
        <v>0</v>
      </c>
      <c r="L133" s="69"/>
      <c r="M133" s="69"/>
      <c r="N133" s="69"/>
      <c r="O133" s="69"/>
      <c r="P133" s="69"/>
      <c r="Q133" s="69"/>
      <c r="R133" s="69"/>
      <c r="S133" s="69"/>
      <c r="T133" s="68">
        <f t="shared" si="37"/>
        <v>0</v>
      </c>
      <c r="U133" s="69"/>
      <c r="V133" s="69"/>
      <c r="W133" s="69"/>
      <c r="X133" s="69"/>
      <c r="Y133" s="69"/>
      <c r="Z133" s="69"/>
    </row>
    <row r="134" spans="1:26" x14ac:dyDescent="0.25">
      <c r="A134" s="67"/>
      <c r="B134" s="67"/>
      <c r="C134" s="67"/>
      <c r="D134" s="68"/>
      <c r="E134" s="68"/>
      <c r="F134" s="69"/>
      <c r="G134" s="69"/>
      <c r="H134" s="69"/>
      <c r="I134" s="69"/>
      <c r="J134" s="69"/>
      <c r="K134" s="68"/>
      <c r="L134" s="69"/>
      <c r="M134" s="69"/>
      <c r="N134" s="69"/>
      <c r="O134" s="69"/>
      <c r="P134" s="69"/>
      <c r="Q134" s="69"/>
      <c r="R134" s="69"/>
      <c r="S134" s="69"/>
      <c r="T134" s="68"/>
      <c r="U134" s="69"/>
      <c r="V134" s="69"/>
      <c r="W134" s="69"/>
      <c r="X134" s="69"/>
      <c r="Y134" s="69"/>
      <c r="Z134" s="69"/>
    </row>
    <row r="135" spans="1:26" ht="25.5" hidden="1" x14ac:dyDescent="0.25">
      <c r="A135" s="67" t="s">
        <v>393</v>
      </c>
      <c r="B135" s="67">
        <v>300</v>
      </c>
      <c r="C135" s="67" t="s">
        <v>270</v>
      </c>
      <c r="D135" s="68">
        <f>E135+K135+S135+T135</f>
        <v>0</v>
      </c>
      <c r="E135" s="68">
        <f>SUM(F135:J135)</f>
        <v>0</v>
      </c>
      <c r="F135" s="68"/>
      <c r="G135" s="68"/>
      <c r="H135" s="68"/>
      <c r="I135" s="68"/>
      <c r="J135" s="68"/>
      <c r="K135" s="68">
        <f>SUM(L135:R135)</f>
        <v>0</v>
      </c>
      <c r="L135" s="68"/>
      <c r="M135" s="68"/>
      <c r="N135" s="68"/>
      <c r="O135" s="68"/>
      <c r="P135" s="68"/>
      <c r="Q135" s="68"/>
      <c r="R135" s="68"/>
      <c r="S135" s="68"/>
      <c r="T135" s="68">
        <f>SUM(U135:Z135)</f>
        <v>0</v>
      </c>
      <c r="U135" s="68"/>
      <c r="V135" s="68"/>
      <c r="W135" s="68"/>
      <c r="X135" s="68"/>
      <c r="Y135" s="68"/>
      <c r="Z135" s="68"/>
    </row>
    <row r="136" spans="1:26" hidden="1" x14ac:dyDescent="0.25">
      <c r="A136" s="67" t="s">
        <v>185</v>
      </c>
      <c r="B136" s="67"/>
      <c r="C136" s="67"/>
      <c r="D136" s="68"/>
      <c r="E136" s="68"/>
      <c r="F136" s="69"/>
      <c r="G136" s="69"/>
      <c r="H136" s="69"/>
      <c r="I136" s="69"/>
      <c r="J136" s="69"/>
      <c r="K136" s="68"/>
      <c r="L136" s="69"/>
      <c r="M136" s="69"/>
      <c r="N136" s="69"/>
      <c r="O136" s="69"/>
      <c r="P136" s="69"/>
      <c r="Q136" s="69"/>
      <c r="R136" s="69"/>
      <c r="S136" s="69"/>
      <c r="T136" s="68"/>
      <c r="U136" s="69"/>
      <c r="V136" s="69"/>
      <c r="W136" s="69"/>
      <c r="X136" s="69"/>
      <c r="Y136" s="69"/>
      <c r="Z136" s="69"/>
    </row>
    <row r="137" spans="1:26" hidden="1" x14ac:dyDescent="0.25">
      <c r="A137" s="67" t="s">
        <v>394</v>
      </c>
      <c r="B137" s="67">
        <v>310</v>
      </c>
      <c r="C137" s="67">
        <v>510</v>
      </c>
      <c r="D137" s="68">
        <f>E137+K137+S137+T137</f>
        <v>0</v>
      </c>
      <c r="E137" s="68">
        <f>SUM(F137:J137)</f>
        <v>0</v>
      </c>
      <c r="F137" s="69"/>
      <c r="G137" s="69"/>
      <c r="H137" s="69"/>
      <c r="I137" s="69"/>
      <c r="J137" s="69"/>
      <c r="K137" s="68">
        <f>SUM(L137:R137)</f>
        <v>0</v>
      </c>
      <c r="L137" s="69"/>
      <c r="M137" s="69"/>
      <c r="N137" s="69"/>
      <c r="O137" s="69"/>
      <c r="P137" s="69"/>
      <c r="Q137" s="69"/>
      <c r="R137" s="69"/>
      <c r="S137" s="69"/>
      <c r="T137" s="68">
        <f>SUM(U137:Z137)</f>
        <v>0</v>
      </c>
      <c r="U137" s="69"/>
      <c r="V137" s="69"/>
      <c r="W137" s="69"/>
      <c r="X137" s="69"/>
      <c r="Y137" s="69"/>
      <c r="Z137" s="69"/>
    </row>
    <row r="138" spans="1:26" hidden="1" x14ac:dyDescent="0.25">
      <c r="A138" s="67" t="s">
        <v>395</v>
      </c>
      <c r="B138" s="67">
        <v>320</v>
      </c>
      <c r="C138" s="67"/>
      <c r="D138" s="68">
        <f>E138+K138+S138+T138</f>
        <v>0</v>
      </c>
      <c r="E138" s="68">
        <f>SUM(F138:J138)</f>
        <v>0</v>
      </c>
      <c r="F138" s="69"/>
      <c r="G138" s="69"/>
      <c r="H138" s="69"/>
      <c r="I138" s="69"/>
      <c r="J138" s="69"/>
      <c r="K138" s="68">
        <f>SUM(L138:R138)</f>
        <v>0</v>
      </c>
      <c r="L138" s="69"/>
      <c r="M138" s="69"/>
      <c r="N138" s="69"/>
      <c r="O138" s="69"/>
      <c r="P138" s="69"/>
      <c r="Q138" s="69"/>
      <c r="R138" s="69"/>
      <c r="S138" s="69"/>
      <c r="T138" s="68">
        <f>SUM(U138:Z138)</f>
        <v>0</v>
      </c>
      <c r="U138" s="69"/>
      <c r="V138" s="69"/>
      <c r="W138" s="69"/>
      <c r="X138" s="69"/>
      <c r="Y138" s="69"/>
      <c r="Z138" s="69"/>
    </row>
    <row r="139" spans="1:26" ht="24.75" hidden="1" customHeight="1" x14ac:dyDescent="0.25">
      <c r="A139" s="67" t="s">
        <v>396</v>
      </c>
      <c r="B139" s="67">
        <v>400</v>
      </c>
      <c r="C139" s="67">
        <v>600</v>
      </c>
      <c r="D139" s="68">
        <f>E139+K139+S139+T139</f>
        <v>0</v>
      </c>
      <c r="E139" s="68">
        <f>SUM(F139:J139)</f>
        <v>0</v>
      </c>
      <c r="F139" s="68"/>
      <c r="G139" s="68"/>
      <c r="H139" s="68"/>
      <c r="I139" s="68"/>
      <c r="J139" s="68"/>
      <c r="K139" s="68">
        <f>SUM(L139:R139)</f>
        <v>0</v>
      </c>
      <c r="L139" s="68"/>
      <c r="M139" s="68"/>
      <c r="N139" s="68"/>
      <c r="O139" s="68"/>
      <c r="P139" s="68"/>
      <c r="Q139" s="68"/>
      <c r="R139" s="68"/>
      <c r="S139" s="68"/>
      <c r="T139" s="68">
        <f>SUM(U139:Z139)</f>
        <v>0</v>
      </c>
      <c r="U139" s="68"/>
      <c r="V139" s="68"/>
      <c r="W139" s="68"/>
      <c r="X139" s="68"/>
      <c r="Y139" s="68"/>
      <c r="Z139" s="68"/>
    </row>
    <row r="140" spans="1:26" hidden="1" x14ac:dyDescent="0.25">
      <c r="A140" s="67" t="s">
        <v>185</v>
      </c>
      <c r="B140" s="67"/>
      <c r="C140" s="67"/>
      <c r="D140" s="68"/>
      <c r="E140" s="68"/>
      <c r="F140" s="69"/>
      <c r="G140" s="69"/>
      <c r="H140" s="69"/>
      <c r="I140" s="69"/>
      <c r="J140" s="69"/>
      <c r="K140" s="68"/>
      <c r="L140" s="69"/>
      <c r="M140" s="69"/>
      <c r="N140" s="69"/>
      <c r="O140" s="69"/>
      <c r="P140" s="69"/>
      <c r="Q140" s="69"/>
      <c r="R140" s="69"/>
      <c r="S140" s="69"/>
      <c r="T140" s="68"/>
      <c r="U140" s="69"/>
      <c r="V140" s="69"/>
      <c r="W140" s="69"/>
      <c r="X140" s="69"/>
      <c r="Y140" s="69"/>
      <c r="Z140" s="69"/>
    </row>
    <row r="141" spans="1:26" hidden="1" x14ac:dyDescent="0.25">
      <c r="A141" s="67" t="s">
        <v>397</v>
      </c>
      <c r="B141" s="67">
        <v>410</v>
      </c>
      <c r="C141" s="67">
        <v>610</v>
      </c>
      <c r="D141" s="68">
        <f>E141+K141+S141+T141</f>
        <v>0</v>
      </c>
      <c r="E141" s="68">
        <f>SUM(F141:J141)</f>
        <v>0</v>
      </c>
      <c r="F141" s="69"/>
      <c r="G141" s="69"/>
      <c r="H141" s="69"/>
      <c r="I141" s="69"/>
      <c r="J141" s="69"/>
      <c r="K141" s="68">
        <f>SUM(L141:R141)</f>
        <v>0</v>
      </c>
      <c r="L141" s="69"/>
      <c r="M141" s="69"/>
      <c r="N141" s="69"/>
      <c r="O141" s="69"/>
      <c r="P141" s="69"/>
      <c r="Q141" s="69"/>
      <c r="R141" s="69"/>
      <c r="S141" s="69"/>
      <c r="T141" s="68">
        <f>SUM(U141:Z141)</f>
        <v>0</v>
      </c>
      <c r="U141" s="69"/>
      <c r="V141" s="69"/>
      <c r="W141" s="69"/>
      <c r="X141" s="69"/>
      <c r="Y141" s="69"/>
      <c r="Z141" s="69"/>
    </row>
    <row r="142" spans="1:26" hidden="1" x14ac:dyDescent="0.25">
      <c r="A142" s="67" t="s">
        <v>398</v>
      </c>
      <c r="B142" s="67">
        <v>420</v>
      </c>
      <c r="C142" s="67"/>
      <c r="D142" s="68">
        <f>E142+K142+S142+T142</f>
        <v>0</v>
      </c>
      <c r="E142" s="68">
        <f>SUM(F142:J142)</f>
        <v>0</v>
      </c>
      <c r="F142" s="69"/>
      <c r="G142" s="69"/>
      <c r="H142" s="69"/>
      <c r="I142" s="69"/>
      <c r="J142" s="69"/>
      <c r="K142" s="68">
        <f>SUM(L142:R142)</f>
        <v>0</v>
      </c>
      <c r="L142" s="69"/>
      <c r="M142" s="69"/>
      <c r="N142" s="69"/>
      <c r="O142" s="69"/>
      <c r="P142" s="69"/>
      <c r="Q142" s="69"/>
      <c r="R142" s="69"/>
      <c r="S142" s="69"/>
      <c r="T142" s="68">
        <f>SUM(U142:Z142)</f>
        <v>0</v>
      </c>
      <c r="U142" s="69"/>
      <c r="V142" s="69"/>
      <c r="W142" s="69"/>
      <c r="X142" s="69"/>
      <c r="Y142" s="69"/>
      <c r="Z142" s="69"/>
    </row>
    <row r="143" spans="1:26" x14ac:dyDescent="0.25">
      <c r="A143" s="67" t="s">
        <v>399</v>
      </c>
      <c r="B143" s="67">
        <v>500</v>
      </c>
      <c r="C143" s="67" t="s">
        <v>298</v>
      </c>
      <c r="D143" s="68">
        <f>E143+K143+S143+T143</f>
        <v>161020.35999999999</v>
      </c>
      <c r="E143" s="68">
        <f>SUM(F143:J143)</f>
        <v>0</v>
      </c>
      <c r="F143" s="69"/>
      <c r="G143" s="69"/>
      <c r="H143" s="69"/>
      <c r="I143" s="69"/>
      <c r="J143" s="69"/>
      <c r="K143" s="68">
        <f>SUM(L143:R143)</f>
        <v>161020.35999999999</v>
      </c>
      <c r="L143" s="69">
        <v>161019.56</v>
      </c>
      <c r="M143" s="69"/>
      <c r="N143" s="69"/>
      <c r="O143" s="69"/>
      <c r="P143" s="69"/>
      <c r="Q143" s="69"/>
      <c r="R143" s="69">
        <v>0.8</v>
      </c>
      <c r="S143" s="69"/>
      <c r="T143" s="68">
        <f>SUM(U143:Z143)</f>
        <v>0</v>
      </c>
      <c r="U143" s="69"/>
      <c r="V143" s="69"/>
      <c r="W143" s="69"/>
      <c r="X143" s="69"/>
      <c r="Y143" s="69"/>
      <c r="Z143" s="69"/>
    </row>
    <row r="144" spans="1:26" x14ac:dyDescent="0.25">
      <c r="A144" s="67" t="s">
        <v>400</v>
      </c>
      <c r="B144" s="67">
        <v>600</v>
      </c>
      <c r="C144" s="67" t="s">
        <v>298</v>
      </c>
      <c r="D144" s="68">
        <f>E144+K144+S144+T144</f>
        <v>0</v>
      </c>
      <c r="E144" s="68">
        <f>SUM(F144:J144)</f>
        <v>0</v>
      </c>
      <c r="F144" s="69">
        <v>0</v>
      </c>
      <c r="G144" s="69">
        <v>0</v>
      </c>
      <c r="H144" s="69">
        <v>0</v>
      </c>
      <c r="I144" s="69">
        <v>0</v>
      </c>
      <c r="J144" s="69">
        <v>0</v>
      </c>
      <c r="K144" s="68">
        <f>SUM(L144:R144)</f>
        <v>0</v>
      </c>
      <c r="L144" s="69">
        <v>0</v>
      </c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R144" s="69">
        <v>0</v>
      </c>
      <c r="S144" s="69">
        <v>0</v>
      </c>
      <c r="T144" s="68">
        <f>SUM(U144:Z144)</f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</row>
    <row r="146" spans="8:8" x14ac:dyDescent="0.25">
      <c r="H146" s="89"/>
    </row>
    <row r="147" spans="8:8" x14ac:dyDescent="0.25">
      <c r="H147" s="90"/>
    </row>
  </sheetData>
  <autoFilter ref="A9:Z144"/>
  <mergeCells count="12">
    <mergeCell ref="A2:J2"/>
    <mergeCell ref="A3:J3"/>
    <mergeCell ref="A5:A8"/>
    <mergeCell ref="B5:B8"/>
    <mergeCell ref="C5:C8"/>
    <mergeCell ref="D5:Z5"/>
    <mergeCell ref="D6:D8"/>
    <mergeCell ref="E6:Z6"/>
    <mergeCell ref="E7:J7"/>
    <mergeCell ref="K7:R7"/>
    <mergeCell ref="S7:S8"/>
    <mergeCell ref="T7:Z7"/>
  </mergeCells>
  <phoneticPr fontId="38" type="noConversion"/>
  <pageMargins left="0" right="0" top="0.78740157480314965" bottom="0.3937007874015748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L20"/>
  <sheetViews>
    <sheetView workbookViewId="0">
      <selection activeCell="G14" sqref="G14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2" ht="15.75" x14ac:dyDescent="0.25">
      <c r="A2" s="270" t="s">
        <v>421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ht="15.75" x14ac:dyDescent="0.25">
      <c r="A3" s="270" t="s">
        <v>422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 ht="15.75" x14ac:dyDescent="0.25">
      <c r="A4" s="294" t="str">
        <f>'р.3 2019'!A3:K3</f>
        <v xml:space="preserve">« ____»  _______________ 201__ г. 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6" spans="1:12" ht="30" customHeight="1" x14ac:dyDescent="0.25">
      <c r="A6" s="292" t="s">
        <v>183</v>
      </c>
      <c r="B6" s="293" t="s">
        <v>402</v>
      </c>
      <c r="C6" s="292" t="s">
        <v>415</v>
      </c>
      <c r="D6" s="292" t="s">
        <v>416</v>
      </c>
      <c r="E6" s="292"/>
      <c r="F6" s="292"/>
      <c r="G6" s="292"/>
      <c r="H6" s="292"/>
      <c r="I6" s="292"/>
      <c r="J6" s="292"/>
      <c r="K6" s="292"/>
      <c r="L6" s="292"/>
    </row>
    <row r="7" spans="1:12" x14ac:dyDescent="0.25">
      <c r="A7" s="292"/>
      <c r="B7" s="293"/>
      <c r="C7" s="292"/>
      <c r="D7" s="292" t="s">
        <v>417</v>
      </c>
      <c r="E7" s="292"/>
      <c r="F7" s="292"/>
      <c r="G7" s="292" t="s">
        <v>187</v>
      </c>
      <c r="H7" s="292"/>
      <c r="I7" s="292"/>
      <c r="J7" s="292"/>
      <c r="K7" s="292"/>
      <c r="L7" s="292"/>
    </row>
    <row r="8" spans="1:12" ht="78" customHeight="1" x14ac:dyDescent="0.25">
      <c r="A8" s="292"/>
      <c r="B8" s="293"/>
      <c r="C8" s="292"/>
      <c r="D8" s="292"/>
      <c r="E8" s="292"/>
      <c r="F8" s="292"/>
      <c r="G8" s="292" t="s">
        <v>418</v>
      </c>
      <c r="H8" s="292"/>
      <c r="I8" s="292"/>
      <c r="J8" s="292" t="s">
        <v>419</v>
      </c>
      <c r="K8" s="292"/>
      <c r="L8" s="292"/>
    </row>
    <row r="9" spans="1:12" ht="48" x14ac:dyDescent="0.25">
      <c r="A9" s="292"/>
      <c r="B9" s="293"/>
      <c r="C9" s="292"/>
      <c r="D9" s="35" t="s">
        <v>850</v>
      </c>
      <c r="E9" s="35" t="s">
        <v>848</v>
      </c>
      <c r="F9" s="35" t="s">
        <v>849</v>
      </c>
      <c r="G9" s="264" t="s">
        <v>850</v>
      </c>
      <c r="H9" s="264" t="s">
        <v>848</v>
      </c>
      <c r="I9" s="264" t="s">
        <v>849</v>
      </c>
      <c r="J9" s="264" t="s">
        <v>850</v>
      </c>
      <c r="K9" s="264" t="s">
        <v>848</v>
      </c>
      <c r="L9" s="264" t="s">
        <v>849</v>
      </c>
    </row>
    <row r="10" spans="1:12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2" ht="39.950000000000003" customHeight="1" x14ac:dyDescent="0.25">
      <c r="A11" s="4" t="s">
        <v>411</v>
      </c>
      <c r="B11" s="6" t="s">
        <v>420</v>
      </c>
      <c r="C11" s="3" t="s">
        <v>298</v>
      </c>
      <c r="D11" s="161">
        <f>D12+D14</f>
        <v>3203290.8</v>
      </c>
      <c r="E11" s="161">
        <f>E12+E14</f>
        <v>2260200</v>
      </c>
      <c r="F11" s="161">
        <f>F12+F14</f>
        <v>2260200</v>
      </c>
      <c r="G11" s="161">
        <f t="shared" ref="G11:L11" si="0">G12+G14</f>
        <v>3203290.8</v>
      </c>
      <c r="H11" s="161">
        <f t="shared" si="0"/>
        <v>2260200</v>
      </c>
      <c r="I11" s="161">
        <f t="shared" si="0"/>
        <v>2260200</v>
      </c>
      <c r="J11" s="161">
        <f t="shared" si="0"/>
        <v>0</v>
      </c>
      <c r="K11" s="161">
        <f t="shared" si="0"/>
        <v>0</v>
      </c>
      <c r="L11" s="161">
        <f t="shared" si="0"/>
        <v>0</v>
      </c>
    </row>
    <row r="12" spans="1:12" ht="60" customHeight="1" x14ac:dyDescent="0.25">
      <c r="A12" s="8" t="s">
        <v>412</v>
      </c>
      <c r="B12" s="6">
        <v>1001</v>
      </c>
      <c r="C12" s="3" t="s">
        <v>298</v>
      </c>
      <c r="D12" s="161">
        <f>G12+J12</f>
        <v>0</v>
      </c>
      <c r="E12" s="161">
        <f>H12+K12</f>
        <v>0</v>
      </c>
      <c r="F12" s="161">
        <f>I12+L12</f>
        <v>0</v>
      </c>
      <c r="G12" s="7"/>
      <c r="H12" s="7"/>
      <c r="I12" s="7"/>
      <c r="J12" s="7"/>
      <c r="K12" s="7"/>
      <c r="L12" s="7"/>
    </row>
    <row r="13" spans="1:12" ht="20.100000000000001" customHeight="1" x14ac:dyDescent="0.25">
      <c r="A13" s="8" t="s">
        <v>413</v>
      </c>
      <c r="B13" s="6" t="s">
        <v>413</v>
      </c>
      <c r="C13" s="3" t="s">
        <v>298</v>
      </c>
      <c r="D13" s="162"/>
      <c r="E13" s="162"/>
      <c r="F13" s="162"/>
      <c r="G13" s="7"/>
      <c r="H13" s="7"/>
      <c r="I13" s="7"/>
      <c r="J13" s="7"/>
      <c r="K13" s="7"/>
      <c r="L13" s="7"/>
    </row>
    <row r="14" spans="1:12" ht="39.950000000000003" customHeight="1" x14ac:dyDescent="0.25">
      <c r="A14" s="4" t="s">
        <v>414</v>
      </c>
      <c r="B14" s="6">
        <v>2001</v>
      </c>
      <c r="C14" s="3"/>
      <c r="D14" s="161">
        <f>G14+J14</f>
        <v>3203290.8</v>
      </c>
      <c r="E14" s="161">
        <f>H14+K14</f>
        <v>2260200</v>
      </c>
      <c r="F14" s="161">
        <f>I14+L14</f>
        <v>2260200</v>
      </c>
      <c r="G14" s="163">
        <f>'р.3 2019'!E99+'р.3 2019'!L99</f>
        <v>3203290.8</v>
      </c>
      <c r="H14" s="163">
        <f>'р.3 2020(1)'!E99+'р.3 2020(1)'!L99</f>
        <v>2260200</v>
      </c>
      <c r="I14" s="163">
        <f>'р.3 2021(1)'!E99+'р.3 2021(1)'!L99</f>
        <v>2260200</v>
      </c>
      <c r="J14" s="163">
        <f>'р.3 2019'!V99</f>
        <v>0</v>
      </c>
      <c r="K14" s="163">
        <f>'р.3 2020(1)'!T99</f>
        <v>0</v>
      </c>
      <c r="L14" s="163">
        <f>'р.3 2021'!T94</f>
        <v>0</v>
      </c>
    </row>
    <row r="15" spans="1:12" ht="20.100000000000001" customHeight="1" x14ac:dyDescent="0.25">
      <c r="A15" s="8" t="s">
        <v>413</v>
      </c>
      <c r="B15" s="6" t="s">
        <v>413</v>
      </c>
      <c r="C15" s="3"/>
      <c r="D15" s="7"/>
      <c r="E15" s="7"/>
      <c r="F15" s="7"/>
      <c r="G15" s="163"/>
      <c r="H15" s="163"/>
      <c r="I15" s="163"/>
      <c r="J15" s="163"/>
      <c r="K15" s="163"/>
      <c r="L15" s="163"/>
    </row>
    <row r="20" spans="1:12" ht="30.6" customHeight="1" x14ac:dyDescent="0.25">
      <c r="A20" s="291" t="s">
        <v>664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38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D133" sqref="D133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281" t="s">
        <v>423</v>
      </c>
      <c r="C2" s="281"/>
      <c r="D2" s="281"/>
    </row>
    <row r="3" spans="2:4" ht="15.75" x14ac:dyDescent="0.25">
      <c r="B3" s="281" t="s">
        <v>424</v>
      </c>
      <c r="C3" s="281"/>
      <c r="D3" s="281"/>
    </row>
    <row r="4" spans="2:4" ht="15.75" x14ac:dyDescent="0.25">
      <c r="B4" s="281" t="s">
        <v>144</v>
      </c>
      <c r="C4" s="281"/>
      <c r="D4" s="281"/>
    </row>
    <row r="5" spans="2:4" ht="15.75" x14ac:dyDescent="0.25">
      <c r="B5" s="281" t="s">
        <v>425</v>
      </c>
      <c r="C5" s="281"/>
      <c r="D5" s="281"/>
    </row>
    <row r="6" spans="2:4" x14ac:dyDescent="0.25">
      <c r="B6" s="1"/>
      <c r="C6" s="13"/>
      <c r="D6" s="13"/>
    </row>
    <row r="7" spans="2:4" ht="30" x14ac:dyDescent="0.25">
      <c r="B7" s="33" t="s">
        <v>183</v>
      </c>
      <c r="C7" s="33" t="s">
        <v>402</v>
      </c>
      <c r="D7" s="33" t="s">
        <v>426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399</v>
      </c>
      <c r="C9" s="33">
        <v>10</v>
      </c>
      <c r="D9" s="34"/>
    </row>
    <row r="10" spans="2:4" x14ac:dyDescent="0.25">
      <c r="B10" s="34" t="s">
        <v>400</v>
      </c>
      <c r="C10" s="33">
        <v>20</v>
      </c>
      <c r="D10" s="34"/>
    </row>
    <row r="11" spans="2:4" x14ac:dyDescent="0.25">
      <c r="B11" s="34" t="s">
        <v>427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428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429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183</v>
      </c>
      <c r="C18" s="33" t="s">
        <v>402</v>
      </c>
      <c r="D18" s="33" t="s">
        <v>430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431</v>
      </c>
      <c r="C20" s="33">
        <v>10</v>
      </c>
      <c r="D20" s="34"/>
    </row>
    <row r="21" spans="2:4" ht="59.45" customHeight="1" x14ac:dyDescent="0.25">
      <c r="B21" s="34" t="s">
        <v>432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296" t="s">
        <v>433</v>
      </c>
      <c r="C23" s="296"/>
      <c r="D23" s="296"/>
    </row>
    <row r="24" spans="2:4" ht="15.75" x14ac:dyDescent="0.25">
      <c r="B24" s="296" t="s">
        <v>434</v>
      </c>
      <c r="C24" s="296"/>
      <c r="D24" s="296"/>
    </row>
    <row r="25" spans="2:4" ht="15.75" x14ac:dyDescent="0.25">
      <c r="B25" s="296" t="s">
        <v>673</v>
      </c>
      <c r="C25" s="296"/>
      <c r="D25" s="296"/>
    </row>
    <row r="26" spans="2:4" ht="15.75" x14ac:dyDescent="0.25">
      <c r="B26" s="296" t="s">
        <v>435</v>
      </c>
      <c r="C26" s="296"/>
      <c r="D26" s="296"/>
    </row>
    <row r="27" spans="2:4" ht="15.75" hidden="1" x14ac:dyDescent="0.25">
      <c r="B27" s="296" t="s">
        <v>436</v>
      </c>
      <c r="C27" s="296"/>
      <c r="D27" s="296"/>
    </row>
    <row r="28" spans="2:4" ht="15.75" hidden="1" x14ac:dyDescent="0.25">
      <c r="B28" s="296" t="s">
        <v>437</v>
      </c>
      <c r="C28" s="296"/>
      <c r="D28" s="296"/>
    </row>
    <row r="29" spans="2:4" ht="15.75" hidden="1" x14ac:dyDescent="0.25">
      <c r="B29" s="296" t="s">
        <v>438</v>
      </c>
      <c r="C29" s="296"/>
      <c r="D29" s="296"/>
    </row>
    <row r="30" spans="2:4" ht="15.75" hidden="1" x14ac:dyDescent="0.25">
      <c r="B30" s="296" t="s">
        <v>435</v>
      </c>
      <c r="C30" s="296"/>
      <c r="D30" s="296"/>
    </row>
    <row r="31" spans="2:4" ht="22.5" customHeight="1" x14ac:dyDescent="0.25">
      <c r="B31" s="296" t="s">
        <v>805</v>
      </c>
      <c r="C31" s="296"/>
      <c r="D31" s="296"/>
    </row>
    <row r="32" spans="2:4" ht="15.75" x14ac:dyDescent="0.25">
      <c r="B32" s="296" t="s">
        <v>806</v>
      </c>
      <c r="C32" s="296"/>
      <c r="D32" s="296"/>
    </row>
    <row r="33" spans="2:4" ht="15.75" x14ac:dyDescent="0.25">
      <c r="B33" s="296" t="s">
        <v>435</v>
      </c>
      <c r="C33" s="296"/>
      <c r="D33" s="296"/>
    </row>
    <row r="34" spans="2:4" ht="15.75" x14ac:dyDescent="0.25">
      <c r="B34" s="16"/>
      <c r="C34" s="17"/>
      <c r="D34" s="17"/>
    </row>
    <row r="35" spans="2:4" ht="15.75" x14ac:dyDescent="0.25">
      <c r="B35" s="296" t="s">
        <v>679</v>
      </c>
      <c r="C35" s="296"/>
      <c r="D35" s="296"/>
    </row>
    <row r="36" spans="2:4" ht="15.75" x14ac:dyDescent="0.25">
      <c r="B36" s="296" t="s">
        <v>453</v>
      </c>
      <c r="C36" s="296"/>
      <c r="D36" s="296"/>
    </row>
    <row r="37" spans="2:4" ht="15.75" x14ac:dyDescent="0.25">
      <c r="B37" s="296" t="s">
        <v>452</v>
      </c>
      <c r="C37" s="296"/>
      <c r="D37" s="296"/>
    </row>
    <row r="38" spans="2:4" ht="15.75" x14ac:dyDescent="0.25">
      <c r="B38" s="16"/>
      <c r="C38" s="17"/>
      <c r="D38" s="17"/>
    </row>
    <row r="39" spans="2:4" ht="15.75" x14ac:dyDescent="0.25">
      <c r="B39" s="16" t="s">
        <v>439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297" t="s">
        <v>440</v>
      </c>
      <c r="C41" s="297"/>
      <c r="D41" s="297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298"/>
      <c r="C68" s="298"/>
      <c r="D68" s="298"/>
      <c r="E68" s="298"/>
      <c r="F68" s="298"/>
      <c r="G68" s="298"/>
      <c r="H68" s="298"/>
      <c r="I68" s="298"/>
      <c r="J68" s="298"/>
      <c r="K68" s="298"/>
    </row>
    <row r="69" spans="2:11" s="20" customFormat="1" x14ac:dyDescent="0.25">
      <c r="B69" s="298"/>
      <c r="C69" s="298"/>
      <c r="D69" s="298"/>
      <c r="E69" s="298"/>
      <c r="F69" s="298"/>
      <c r="G69" s="298"/>
      <c r="H69" s="298"/>
      <c r="I69" s="298"/>
      <c r="J69" s="298"/>
      <c r="K69" s="298"/>
    </row>
    <row r="70" spans="2:11" s="20" customFormat="1" x14ac:dyDescent="0.25">
      <c r="B70" s="298"/>
      <c r="C70" s="298"/>
      <c r="D70" s="298"/>
      <c r="E70" s="298"/>
      <c r="F70" s="23"/>
      <c r="G70" s="23"/>
      <c r="H70" s="23"/>
      <c r="I70" s="298"/>
      <c r="J70" s="298"/>
      <c r="K70" s="298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299"/>
      <c r="C75" s="299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295"/>
      <c r="C108" s="25"/>
      <c r="D108" s="295"/>
      <c r="E108" s="295"/>
    </row>
    <row r="109" spans="2:7" s="20" customFormat="1" x14ac:dyDescent="0.25">
      <c r="B109" s="295"/>
      <c r="C109" s="25"/>
      <c r="D109" s="295"/>
      <c r="E109" s="295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295"/>
      <c r="C113" s="28"/>
      <c r="D113" s="295"/>
      <c r="E113" s="295"/>
    </row>
    <row r="114" spans="2:5" s="20" customFormat="1" x14ac:dyDescent="0.25">
      <c r="B114" s="295"/>
      <c r="C114" s="24"/>
      <c r="D114" s="295"/>
      <c r="E114" s="295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38" type="noConversion"/>
  <pageMargins left="0.98425196850393704" right="0.47244094488188981" top="0.47244094488188981" bottom="0.47244094488188981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61"/>
  <sheetViews>
    <sheetView topLeftCell="A37" zoomScale="83" zoomScaleNormal="83" workbookViewId="0">
      <selection activeCell="D133" sqref="D133"/>
    </sheetView>
  </sheetViews>
  <sheetFormatPr defaultRowHeight="15" x14ac:dyDescent="0.25"/>
  <cols>
    <col min="1" max="1" width="3.42578125" style="70" customWidth="1"/>
    <col min="2" max="2" width="28.85546875" style="70" customWidth="1"/>
    <col min="3" max="3" width="13.28515625" style="70" customWidth="1"/>
    <col min="4" max="5" width="9.28515625" style="70" customWidth="1"/>
    <col min="6" max="6" width="12.42578125" style="70" customWidth="1"/>
    <col min="7" max="7" width="13.7109375" style="70" customWidth="1"/>
    <col min="8" max="8" width="12.85546875" style="70" customWidth="1"/>
    <col min="9" max="9" width="7.28515625" style="70" customWidth="1"/>
    <col min="10" max="10" width="23.85546875" style="70" customWidth="1"/>
    <col min="11" max="11" width="16.140625" style="70" bestFit="1" customWidth="1"/>
    <col min="12" max="12" width="15.140625" style="70" bestFit="1" customWidth="1"/>
    <col min="13" max="13" width="9.140625" style="70"/>
    <col min="14" max="14" width="15.5703125" style="70" customWidth="1"/>
    <col min="15" max="15" width="17.85546875" style="70" customWidth="1"/>
    <col min="16" max="16" width="16.85546875" style="70" customWidth="1"/>
    <col min="17" max="19" width="9.140625" style="70"/>
    <col min="20" max="20" width="16.28515625" style="70" bestFit="1" customWidth="1"/>
    <col min="21" max="21" width="9.140625" style="70"/>
    <col min="22" max="22" width="16.85546875" style="70" customWidth="1"/>
    <col min="23" max="16384" width="9.140625" style="70"/>
  </cols>
  <sheetData>
    <row r="1" spans="1:10" s="91" customFormat="1" x14ac:dyDescent="0.25">
      <c r="C1" s="134"/>
      <c r="D1" s="134"/>
      <c r="J1" s="135" t="s">
        <v>441</v>
      </c>
    </row>
    <row r="2" spans="1:10" s="91" customFormat="1" ht="15.75" x14ac:dyDescent="0.25">
      <c r="A2" s="305" t="s">
        <v>467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s="91" customFormat="1" ht="15.75" x14ac:dyDescent="0.25">
      <c r="A3" s="305" t="s">
        <v>468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s="91" customFormat="1" ht="15.75" x14ac:dyDescent="0.25">
      <c r="A4" s="305" t="s">
        <v>469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s="91" customFormat="1" ht="15.75" x14ac:dyDescent="0.25">
      <c r="A5" s="305" t="s">
        <v>470</v>
      </c>
      <c r="B5" s="305"/>
      <c r="C5" s="305"/>
      <c r="D5" s="305"/>
      <c r="E5" s="305"/>
      <c r="F5" s="305"/>
      <c r="G5" s="305"/>
      <c r="H5" s="305"/>
      <c r="I5" s="305"/>
      <c r="J5" s="305"/>
    </row>
    <row r="6" spans="1:10" s="91" customFormat="1" ht="15.75" x14ac:dyDescent="0.25">
      <c r="A6" s="305" t="s">
        <v>471</v>
      </c>
      <c r="B6" s="305"/>
      <c r="C6" s="305"/>
      <c r="D6" s="305"/>
      <c r="E6" s="305"/>
      <c r="F6" s="305"/>
      <c r="G6" s="305"/>
      <c r="H6" s="305"/>
      <c r="I6" s="305"/>
      <c r="J6" s="305"/>
    </row>
    <row r="7" spans="1:10" s="91" customFormat="1" ht="15.75" x14ac:dyDescent="0.25">
      <c r="A7" s="305" t="s">
        <v>472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0" s="91" customFormat="1" ht="15.75" x14ac:dyDescent="0.25">
      <c r="A8" s="305" t="s">
        <v>473</v>
      </c>
      <c r="B8" s="305"/>
      <c r="C8" s="305"/>
      <c r="D8" s="305"/>
      <c r="E8" s="305"/>
      <c r="F8" s="305"/>
      <c r="G8" s="305"/>
      <c r="H8" s="305"/>
      <c r="I8" s="305"/>
      <c r="J8" s="305"/>
    </row>
    <row r="9" spans="1:10" s="91" customFormat="1" ht="15.75" x14ac:dyDescent="0.25">
      <c r="A9" s="305" t="s">
        <v>573</v>
      </c>
      <c r="B9" s="305"/>
      <c r="C9" s="305"/>
      <c r="D9" s="305"/>
      <c r="E9" s="305"/>
      <c r="F9" s="305"/>
      <c r="G9" s="305"/>
      <c r="H9" s="305"/>
      <c r="I9" s="305"/>
      <c r="J9" s="305"/>
    </row>
    <row r="10" spans="1:10" s="91" customFormat="1" ht="15.75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s="91" customFormat="1" ht="15.75" x14ac:dyDescent="0.25">
      <c r="A11" s="282" t="s">
        <v>464</v>
      </c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s="91" customFormat="1" ht="15.75" x14ac:dyDescent="0.25">
      <c r="A12" s="282" t="s">
        <v>465</v>
      </c>
      <c r="B12" s="282"/>
      <c r="C12" s="282"/>
      <c r="D12" s="282"/>
      <c r="E12" s="282"/>
      <c r="F12" s="282"/>
      <c r="G12" s="282"/>
      <c r="H12" s="282"/>
      <c r="I12" s="282"/>
      <c r="J12" s="282"/>
    </row>
    <row r="13" spans="1:10" s="91" customFormat="1" ht="15.75" x14ac:dyDescent="0.25">
      <c r="A13" s="282" t="s">
        <v>466</v>
      </c>
      <c r="B13" s="282"/>
      <c r="C13" s="282"/>
      <c r="D13" s="282"/>
      <c r="E13" s="282"/>
      <c r="F13" s="282"/>
      <c r="G13" s="282"/>
      <c r="H13" s="282"/>
      <c r="I13" s="282"/>
      <c r="J13" s="282"/>
    </row>
    <row r="14" spans="1:10" s="91" customFormat="1" ht="15.75" x14ac:dyDescent="0.25">
      <c r="A14" s="282" t="s">
        <v>149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s="91" customFormat="1" ht="15.75" x14ac:dyDescent="0.25">
      <c r="A15" s="282" t="s">
        <v>463</v>
      </c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s="91" customFormat="1" ht="10.5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6" s="91" customFormat="1" ht="15.75" x14ac:dyDescent="0.25">
      <c r="A17" s="304" t="s">
        <v>695</v>
      </c>
      <c r="B17" s="304"/>
      <c r="C17" s="304"/>
      <c r="D17" s="304"/>
      <c r="E17" s="304"/>
      <c r="F17" s="304"/>
      <c r="G17" s="304"/>
      <c r="H17" s="304"/>
      <c r="I17" s="304"/>
      <c r="J17" s="304"/>
    </row>
    <row r="18" spans="1:16" s="91" customFormat="1" ht="15.75" customHeight="1" x14ac:dyDescent="0.25">
      <c r="A18" s="301" t="s">
        <v>127</v>
      </c>
      <c r="B18" s="301"/>
      <c r="C18" s="301"/>
      <c r="D18" s="301"/>
      <c r="E18" s="301"/>
      <c r="F18" s="301"/>
      <c r="G18" s="301"/>
      <c r="H18" s="301"/>
      <c r="I18" s="301"/>
      <c r="J18" s="301"/>
    </row>
    <row r="19" spans="1:16" s="91" customFormat="1" ht="10.5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6" s="91" customFormat="1" ht="15" customHeight="1" x14ac:dyDescent="0.25">
      <c r="A20" s="301" t="s">
        <v>148</v>
      </c>
      <c r="B20" s="301"/>
      <c r="C20" s="301"/>
      <c r="D20" s="301"/>
      <c r="E20" s="301"/>
      <c r="F20" s="301"/>
      <c r="G20" s="301"/>
      <c r="H20" s="301"/>
      <c r="I20" s="301"/>
      <c r="J20" s="301"/>
    </row>
    <row r="21" spans="1:16" ht="10.5" customHeight="1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6" ht="30" customHeight="1" x14ac:dyDescent="0.25">
      <c r="A22" s="302" t="s">
        <v>442</v>
      </c>
      <c r="B22" s="302" t="s">
        <v>443</v>
      </c>
      <c r="C22" s="302" t="s">
        <v>444</v>
      </c>
      <c r="D22" s="302" t="s">
        <v>445</v>
      </c>
      <c r="E22" s="302"/>
      <c r="F22" s="302"/>
      <c r="G22" s="302"/>
      <c r="H22" s="302" t="s">
        <v>693</v>
      </c>
      <c r="I22" s="302" t="s">
        <v>446</v>
      </c>
      <c r="J22" s="302" t="s">
        <v>687</v>
      </c>
    </row>
    <row r="23" spans="1:16" ht="15.75" customHeight="1" x14ac:dyDescent="0.25">
      <c r="A23" s="302"/>
      <c r="B23" s="302"/>
      <c r="C23" s="302"/>
      <c r="D23" s="302" t="s">
        <v>405</v>
      </c>
      <c r="E23" s="302" t="s">
        <v>187</v>
      </c>
      <c r="F23" s="302"/>
      <c r="G23" s="302"/>
      <c r="H23" s="302"/>
      <c r="I23" s="302"/>
      <c r="J23" s="302"/>
    </row>
    <row r="24" spans="1:16" ht="61.5" customHeight="1" x14ac:dyDescent="0.25">
      <c r="A24" s="302"/>
      <c r="B24" s="302"/>
      <c r="C24" s="302"/>
      <c r="D24" s="302"/>
      <c r="E24" s="231" t="s">
        <v>447</v>
      </c>
      <c r="F24" s="231" t="s">
        <v>448</v>
      </c>
      <c r="G24" s="231" t="s">
        <v>449</v>
      </c>
      <c r="H24" s="302"/>
      <c r="I24" s="302"/>
      <c r="J24" s="302"/>
      <c r="K24" s="70" t="s">
        <v>555</v>
      </c>
    </row>
    <row r="25" spans="1:16" x14ac:dyDescent="0.25">
      <c r="A25" s="231">
        <v>1</v>
      </c>
      <c r="B25" s="231">
        <v>2</v>
      </c>
      <c r="C25" s="231">
        <v>3</v>
      </c>
      <c r="D25" s="231">
        <v>4</v>
      </c>
      <c r="E25" s="231">
        <v>5</v>
      </c>
      <c r="F25" s="231">
        <v>6</v>
      </c>
      <c r="G25" s="231">
        <v>7</v>
      </c>
      <c r="H25" s="231">
        <v>8</v>
      </c>
      <c r="I25" s="231">
        <v>9</v>
      </c>
      <c r="J25" s="231">
        <v>10</v>
      </c>
    </row>
    <row r="26" spans="1:16" ht="27.75" customHeight="1" x14ac:dyDescent="0.25">
      <c r="A26" s="231">
        <v>1</v>
      </c>
      <c r="B26" s="231" t="s">
        <v>685</v>
      </c>
      <c r="C26" s="136">
        <v>3</v>
      </c>
      <c r="D26" s="136">
        <f xml:space="preserve"> E26+F26+G26</f>
        <v>44404.079782696688</v>
      </c>
      <c r="E26" s="136">
        <f>ROUND(103115/3,0)</f>
        <v>34372</v>
      </c>
      <c r="F26" s="136"/>
      <c r="G26" s="136">
        <v>10032.079782696685</v>
      </c>
      <c r="H26" s="231">
        <v>80</v>
      </c>
      <c r="I26" s="231">
        <v>0.7</v>
      </c>
      <c r="J26" s="133">
        <f>ROUND(C26*D26*(1+H26/100+I26)*12,0)</f>
        <v>3996367</v>
      </c>
      <c r="N26" s="93">
        <f>J26/$J$33</f>
        <v>0.14373094283299465</v>
      </c>
      <c r="O26" s="115">
        <f>ROUND($L$33*N26,0)</f>
        <v>-622714</v>
      </c>
      <c r="P26" s="90">
        <v>3996367</v>
      </c>
    </row>
    <row r="27" spans="1:16" ht="30" customHeight="1" x14ac:dyDescent="0.25">
      <c r="A27" s="231">
        <v>2</v>
      </c>
      <c r="B27" s="231" t="s">
        <v>686</v>
      </c>
      <c r="C27" s="136">
        <v>1</v>
      </c>
      <c r="D27" s="136">
        <f t="shared" ref="D27:D32" si="0">E27+F27+G27</f>
        <v>8364.9969888834294</v>
      </c>
      <c r="E27" s="136">
        <v>5585</v>
      </c>
      <c r="F27" s="136"/>
      <c r="G27" s="136">
        <f>2907.68698888343-127.69</f>
        <v>2779.9969888834298</v>
      </c>
      <c r="H27" s="231">
        <v>80</v>
      </c>
      <c r="I27" s="231">
        <v>0.7</v>
      </c>
      <c r="J27" s="133">
        <f t="shared" ref="J27:J32" si="1">ROUND(C27*D27*(1+H27/100+I27)*12,0)</f>
        <v>250950</v>
      </c>
      <c r="N27" s="93">
        <f t="shared" ref="N27:N32" si="2">J27/$J$33</f>
        <v>9.0255174522109738E-3</v>
      </c>
      <c r="O27" s="115">
        <f t="shared" ref="O27:O32" si="3">ROUND($L$33*N27,0)</f>
        <v>-39103</v>
      </c>
      <c r="P27" s="90">
        <v>254781</v>
      </c>
    </row>
    <row r="28" spans="1:16" ht="15.75" customHeight="1" x14ac:dyDescent="0.25">
      <c r="A28" s="231">
        <v>3</v>
      </c>
      <c r="B28" s="137" t="s">
        <v>690</v>
      </c>
      <c r="C28" s="157">
        <v>38.700000000000003</v>
      </c>
      <c r="D28" s="157">
        <f t="shared" si="0"/>
        <v>13741.15560201193</v>
      </c>
      <c r="E28" s="157">
        <v>4402</v>
      </c>
      <c r="F28" s="157"/>
      <c r="G28" s="157">
        <f>9339.15560201193</f>
        <v>9339.1556020119297</v>
      </c>
      <c r="H28" s="231">
        <v>80</v>
      </c>
      <c r="I28" s="231">
        <v>0.7</v>
      </c>
      <c r="J28" s="133">
        <f t="shared" si="1"/>
        <v>15953482</v>
      </c>
      <c r="N28" s="93">
        <f t="shared" si="2"/>
        <v>0.57377338200650974</v>
      </c>
      <c r="O28" s="115">
        <f t="shared" si="3"/>
        <v>-2485873</v>
      </c>
      <c r="P28" s="90">
        <v>15953482</v>
      </c>
    </row>
    <row r="29" spans="1:16" ht="15.75" customHeight="1" x14ac:dyDescent="0.25">
      <c r="A29" s="231">
        <v>4</v>
      </c>
      <c r="B29" s="137" t="s">
        <v>691</v>
      </c>
      <c r="C29" s="136">
        <v>1</v>
      </c>
      <c r="D29" s="136">
        <f t="shared" si="0"/>
        <v>5354.50926849814</v>
      </c>
      <c r="E29" s="136">
        <v>2950</v>
      </c>
      <c r="F29" s="136"/>
      <c r="G29" s="136">
        <f>2486.22926849814-81.72</f>
        <v>2404.50926849814</v>
      </c>
      <c r="H29" s="231">
        <v>80</v>
      </c>
      <c r="I29" s="231">
        <v>0.7</v>
      </c>
      <c r="J29" s="133">
        <f t="shared" si="1"/>
        <v>160635</v>
      </c>
      <c r="N29" s="93">
        <f t="shared" si="2"/>
        <v>5.7773022352496902E-3</v>
      </c>
      <c r="O29" s="115">
        <f t="shared" si="3"/>
        <v>-25030</v>
      </c>
      <c r="P29" s="90">
        <v>163087</v>
      </c>
    </row>
    <row r="30" spans="1:16" ht="15.75" customHeight="1" x14ac:dyDescent="0.25">
      <c r="A30" s="231">
        <v>5</v>
      </c>
      <c r="B30" s="137" t="s">
        <v>692</v>
      </c>
      <c r="C30" s="136">
        <v>3</v>
      </c>
      <c r="D30" s="136">
        <f t="shared" si="0"/>
        <v>8362.8397153156602</v>
      </c>
      <c r="E30" s="136">
        <v>5255</v>
      </c>
      <c r="F30" s="136">
        <v>0</v>
      </c>
      <c r="G30" s="136">
        <f>3235.50971531566-127.67</f>
        <v>3107.8397153156598</v>
      </c>
      <c r="H30" s="231">
        <v>80</v>
      </c>
      <c r="I30" s="231">
        <v>0.7</v>
      </c>
      <c r="J30" s="133">
        <f t="shared" si="1"/>
        <v>752656</v>
      </c>
      <c r="N30" s="93">
        <f t="shared" si="2"/>
        <v>2.7069575068783831E-2</v>
      </c>
      <c r="O30" s="115">
        <f t="shared" si="3"/>
        <v>-117279</v>
      </c>
      <c r="P30" s="90">
        <v>764146</v>
      </c>
    </row>
    <row r="31" spans="1:16" ht="15.75" customHeight="1" x14ac:dyDescent="0.25">
      <c r="A31" s="231">
        <v>6</v>
      </c>
      <c r="B31" s="137" t="s">
        <v>688</v>
      </c>
      <c r="C31" s="136">
        <v>3.5</v>
      </c>
      <c r="D31" s="136">
        <f t="shared" si="0"/>
        <v>8363.0890470888498</v>
      </c>
      <c r="E31" s="136">
        <f>ROUND(11503.5/3.5,0)</f>
        <v>3287</v>
      </c>
      <c r="F31" s="136"/>
      <c r="G31" s="136">
        <f>5203.75904708885-127.67</f>
        <v>5076.0890470888498</v>
      </c>
      <c r="H31" s="231">
        <v>80</v>
      </c>
      <c r="I31" s="231">
        <v>0.7</v>
      </c>
      <c r="J31" s="133">
        <f t="shared" si="1"/>
        <v>878124</v>
      </c>
      <c r="N31" s="93">
        <f t="shared" si="2"/>
        <v>3.1582082037080329E-2</v>
      </c>
      <c r="O31" s="115">
        <f t="shared" si="3"/>
        <v>-136829</v>
      </c>
      <c r="P31" s="90">
        <v>891530</v>
      </c>
    </row>
    <row r="32" spans="1:16" ht="15.75" customHeight="1" x14ac:dyDescent="0.25">
      <c r="A32" s="231">
        <v>7</v>
      </c>
      <c r="B32" s="137" t="s">
        <v>689</v>
      </c>
      <c r="C32" s="136">
        <v>23.75</v>
      </c>
      <c r="D32" s="136">
        <f t="shared" si="0"/>
        <v>8157.5936891963011</v>
      </c>
      <c r="E32" s="136">
        <f>ROUND(57385.5/23.75,0)</f>
        <v>2416</v>
      </c>
      <c r="F32" s="136">
        <f>ROUND(3982.81/23.75,2)</f>
        <v>167.7</v>
      </c>
      <c r="G32" s="136">
        <v>5573.8936891963012</v>
      </c>
      <c r="H32" s="231">
        <v>80</v>
      </c>
      <c r="I32" s="231">
        <v>0.7</v>
      </c>
      <c r="J32" s="133">
        <f t="shared" si="1"/>
        <v>5812286</v>
      </c>
      <c r="L32" s="90">
        <f>J32+L33</f>
        <v>1479786</v>
      </c>
      <c r="N32" s="93">
        <f t="shared" si="2"/>
        <v>0.20904119836717078</v>
      </c>
      <c r="O32" s="115">
        <f t="shared" si="3"/>
        <v>-905671</v>
      </c>
      <c r="P32" s="90">
        <v>5920207</v>
      </c>
    </row>
    <row r="33" spans="1:22" s="118" customFormat="1" x14ac:dyDescent="0.25">
      <c r="A33" s="300" t="s">
        <v>450</v>
      </c>
      <c r="B33" s="300"/>
      <c r="C33" s="138" t="s">
        <v>451</v>
      </c>
      <c r="D33" s="138"/>
      <c r="E33" s="138" t="s">
        <v>451</v>
      </c>
      <c r="F33" s="138" t="s">
        <v>451</v>
      </c>
      <c r="G33" s="138" t="s">
        <v>451</v>
      </c>
      <c r="H33" s="138" t="s">
        <v>451</v>
      </c>
      <c r="I33" s="138" t="s">
        <v>451</v>
      </c>
      <c r="J33" s="139">
        <f>SUM(J26:J32)</f>
        <v>27804500</v>
      </c>
      <c r="K33" s="159">
        <f>'р.3 2019'!H59</f>
        <v>23472000</v>
      </c>
      <c r="L33" s="160">
        <f>K33-J33</f>
        <v>-4332500</v>
      </c>
      <c r="O33" s="160">
        <f>SUM(O26:O32)</f>
        <v>-4332499</v>
      </c>
      <c r="P33" s="160">
        <f>SUM(P26:P32)</f>
        <v>27943600</v>
      </c>
    </row>
    <row r="34" spans="1:22" ht="8.25" customHeight="1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90"/>
    </row>
    <row r="35" spans="1:22" ht="15.75" x14ac:dyDescent="0.25">
      <c r="A35" s="303" t="s">
        <v>79</v>
      </c>
      <c r="B35" s="301"/>
      <c r="C35" s="301"/>
      <c r="D35" s="301"/>
      <c r="E35" s="301"/>
      <c r="F35" s="301"/>
      <c r="G35" s="301"/>
      <c r="H35" s="301"/>
      <c r="I35" s="301"/>
      <c r="J35" s="301"/>
    </row>
    <row r="36" spans="1:22" ht="15.75" x14ac:dyDescent="0.25">
      <c r="A36" s="301" t="s">
        <v>784</v>
      </c>
      <c r="B36" s="301"/>
      <c r="C36" s="301"/>
      <c r="D36" s="301"/>
      <c r="E36" s="301"/>
      <c r="F36" s="301"/>
      <c r="G36" s="301"/>
      <c r="H36" s="301"/>
      <c r="I36" s="301"/>
      <c r="J36" s="301"/>
    </row>
    <row r="37" spans="1:22" ht="15.75" x14ac:dyDescent="0.25">
      <c r="A37" s="116" t="s">
        <v>790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22" x14ac:dyDescent="0.25">
      <c r="A38" s="302" t="s">
        <v>442</v>
      </c>
      <c r="B38" s="302" t="s">
        <v>443</v>
      </c>
      <c r="C38" s="302" t="s">
        <v>444</v>
      </c>
      <c r="D38" s="302" t="s">
        <v>445</v>
      </c>
      <c r="E38" s="302"/>
      <c r="F38" s="302"/>
      <c r="G38" s="302"/>
      <c r="H38" s="302" t="s">
        <v>693</v>
      </c>
      <c r="I38" s="302" t="s">
        <v>446</v>
      </c>
      <c r="J38" s="302" t="s">
        <v>687</v>
      </c>
    </row>
    <row r="39" spans="1:22" x14ac:dyDescent="0.25">
      <c r="A39" s="302"/>
      <c r="B39" s="302"/>
      <c r="C39" s="302"/>
      <c r="D39" s="302" t="s">
        <v>405</v>
      </c>
      <c r="E39" s="302" t="s">
        <v>187</v>
      </c>
      <c r="F39" s="302"/>
      <c r="G39" s="302"/>
      <c r="H39" s="302"/>
      <c r="I39" s="302"/>
      <c r="J39" s="302"/>
    </row>
    <row r="40" spans="1:22" ht="66" customHeight="1" x14ac:dyDescent="0.25">
      <c r="A40" s="302"/>
      <c r="B40" s="302"/>
      <c r="C40" s="302"/>
      <c r="D40" s="302"/>
      <c r="E40" s="231" t="s">
        <v>447</v>
      </c>
      <c r="F40" s="231" t="s">
        <v>448</v>
      </c>
      <c r="G40" s="231" t="s">
        <v>449</v>
      </c>
      <c r="H40" s="302"/>
      <c r="I40" s="302"/>
      <c r="J40" s="302"/>
    </row>
    <row r="41" spans="1:22" x14ac:dyDescent="0.25">
      <c r="A41" s="231">
        <v>1</v>
      </c>
      <c r="B41" s="231">
        <v>2</v>
      </c>
      <c r="C41" s="231">
        <v>3</v>
      </c>
      <c r="D41" s="231">
        <v>4</v>
      </c>
      <c r="E41" s="231">
        <v>5</v>
      </c>
      <c r="F41" s="231">
        <v>6</v>
      </c>
      <c r="G41" s="231">
        <v>7</v>
      </c>
      <c r="H41" s="231">
        <v>8</v>
      </c>
      <c r="I41" s="231">
        <v>9</v>
      </c>
      <c r="J41" s="231">
        <v>10</v>
      </c>
    </row>
    <row r="42" spans="1:22" ht="27.75" customHeight="1" x14ac:dyDescent="0.25">
      <c r="A42" s="231">
        <v>2</v>
      </c>
      <c r="B42" s="231" t="s">
        <v>686</v>
      </c>
      <c r="C42" s="136">
        <v>1</v>
      </c>
      <c r="D42" s="136">
        <f t="shared" ref="D42:D46" si="4">E42+F42+G42</f>
        <v>1962.1891019307309</v>
      </c>
      <c r="E42" s="136"/>
      <c r="F42" s="136"/>
      <c r="G42" s="136">
        <v>1962.1891019307309</v>
      </c>
      <c r="H42" s="231">
        <v>80</v>
      </c>
      <c r="I42" s="231">
        <v>0.7</v>
      </c>
      <c r="J42" s="133">
        <f t="shared" ref="J42:J45" si="5">ROUND(C42*D42*(1+H42/100+I42)*12,0)</f>
        <v>58866</v>
      </c>
      <c r="N42" s="70">
        <f>J42/$J$47</f>
        <v>3.1872868049163464E-2</v>
      </c>
      <c r="O42" s="70">
        <f>$L$47*N42</f>
        <v>-58866</v>
      </c>
      <c r="P42" s="115">
        <v>58865.519078947371</v>
      </c>
      <c r="T42" s="115">
        <f>N42*520600</f>
        <v>16593.015106394498</v>
      </c>
      <c r="V42" s="90">
        <v>53290.82508250825</v>
      </c>
    </row>
    <row r="43" spans="1:22" ht="18" customHeight="1" x14ac:dyDescent="0.25">
      <c r="A43" s="231">
        <v>4</v>
      </c>
      <c r="B43" s="137" t="s">
        <v>691</v>
      </c>
      <c r="C43" s="136">
        <v>1</v>
      </c>
      <c r="D43" s="136">
        <f t="shared" si="4"/>
        <v>1255.9945069638072</v>
      </c>
      <c r="E43" s="136"/>
      <c r="F43" s="136"/>
      <c r="G43" s="136">
        <v>1255.9945069638072</v>
      </c>
      <c r="H43" s="231">
        <v>80</v>
      </c>
      <c r="I43" s="231">
        <v>0.7</v>
      </c>
      <c r="J43" s="133">
        <f t="shared" si="5"/>
        <v>37680</v>
      </c>
      <c r="N43" s="70">
        <f t="shared" ref="N43:N46" si="6">J43/$J$47</f>
        <v>2.0401754290974065E-2</v>
      </c>
      <c r="O43" s="70">
        <f t="shared" ref="O43:O46" si="7">$L$47*N43</f>
        <v>-37680</v>
      </c>
      <c r="P43" s="115">
        <v>37680.294736842108</v>
      </c>
      <c r="T43" s="115">
        <f t="shared" ref="T43:T46" si="8">N43*520600</f>
        <v>10621.153283881098</v>
      </c>
      <c r="V43" s="90">
        <v>34112.343234323431</v>
      </c>
    </row>
    <row r="44" spans="1:22" ht="18" customHeight="1" x14ac:dyDescent="0.25">
      <c r="A44" s="231">
        <v>5</v>
      </c>
      <c r="B44" s="137" t="s">
        <v>692</v>
      </c>
      <c r="C44" s="136">
        <v>3</v>
      </c>
      <c r="D44" s="136">
        <f t="shared" si="4"/>
        <v>1961.6579039503333</v>
      </c>
      <c r="E44" s="136"/>
      <c r="F44" s="136"/>
      <c r="G44" s="136">
        <v>1961.6579039503333</v>
      </c>
      <c r="H44" s="231">
        <v>80</v>
      </c>
      <c r="I44" s="231">
        <v>0.7</v>
      </c>
      <c r="J44" s="133">
        <f t="shared" si="5"/>
        <v>176549</v>
      </c>
      <c r="N44" s="70">
        <f t="shared" si="6"/>
        <v>9.5592073203746825E-2</v>
      </c>
      <c r="O44" s="70">
        <f t="shared" si="7"/>
        <v>-176549</v>
      </c>
      <c r="P44" s="115">
        <v>176549.05921052632</v>
      </c>
      <c r="T44" s="115">
        <f t="shared" si="8"/>
        <v>49765.2333098706</v>
      </c>
      <c r="V44" s="90">
        <v>159830.36303630364</v>
      </c>
    </row>
    <row r="45" spans="1:22" ht="18" customHeight="1" x14ac:dyDescent="0.25">
      <c r="A45" s="231">
        <v>6</v>
      </c>
      <c r="B45" s="137" t="s">
        <v>688</v>
      </c>
      <c r="C45" s="136">
        <v>3.5</v>
      </c>
      <c r="D45" s="136">
        <f t="shared" si="4"/>
        <v>1686.7507565243779</v>
      </c>
      <c r="E45" s="136"/>
      <c r="F45" s="136"/>
      <c r="G45" s="136">
        <v>1686.7507565243779</v>
      </c>
      <c r="H45" s="231">
        <v>80</v>
      </c>
      <c r="I45" s="231">
        <v>0.7</v>
      </c>
      <c r="J45" s="133">
        <f t="shared" si="5"/>
        <v>177109</v>
      </c>
      <c r="N45" s="70">
        <f t="shared" si="6"/>
        <v>9.5895283989387625E-2</v>
      </c>
      <c r="O45" s="70">
        <f t="shared" si="7"/>
        <v>-177109</v>
      </c>
      <c r="P45" s="115">
        <v>177109.09407894738</v>
      </c>
      <c r="T45" s="115">
        <f t="shared" si="8"/>
        <v>49923.0848448752</v>
      </c>
      <c r="V45" s="90">
        <v>160337.1617161716</v>
      </c>
    </row>
    <row r="46" spans="1:22" ht="18" customHeight="1" x14ac:dyDescent="0.25">
      <c r="A46" s="231">
        <v>7</v>
      </c>
      <c r="B46" s="137" t="s">
        <v>689</v>
      </c>
      <c r="C46" s="136">
        <v>23.75</v>
      </c>
      <c r="D46" s="136">
        <f t="shared" si="4"/>
        <v>1960.273776240341</v>
      </c>
      <c r="E46" s="136"/>
      <c r="F46" s="136"/>
      <c r="G46" s="136">
        <v>1960.273776240341</v>
      </c>
      <c r="H46" s="231">
        <v>80</v>
      </c>
      <c r="I46" s="231">
        <v>0.7</v>
      </c>
      <c r="J46" s="133">
        <f>ROUND(C46*D46*(1+H46/100+I46)*12,0)+1</f>
        <v>1396696</v>
      </c>
      <c r="L46" s="93">
        <f>J46+L47</f>
        <v>-450204</v>
      </c>
      <c r="N46" s="70">
        <f t="shared" si="6"/>
        <v>0.75623802046672806</v>
      </c>
      <c r="O46" s="70">
        <f t="shared" si="7"/>
        <v>-1396696</v>
      </c>
      <c r="P46" s="115">
        <v>1396696.0328947369</v>
      </c>
      <c r="T46" s="115">
        <f t="shared" si="8"/>
        <v>393697.51345497865</v>
      </c>
      <c r="V46" s="90">
        <v>1264429.3069306931</v>
      </c>
    </row>
    <row r="47" spans="1:22" x14ac:dyDescent="0.25">
      <c r="A47" s="300" t="s">
        <v>450</v>
      </c>
      <c r="B47" s="300"/>
      <c r="C47" s="138" t="s">
        <v>451</v>
      </c>
      <c r="D47" s="138"/>
      <c r="E47" s="138" t="s">
        <v>451</v>
      </c>
      <c r="F47" s="138" t="s">
        <v>451</v>
      </c>
      <c r="G47" s="138" t="s">
        <v>451</v>
      </c>
      <c r="H47" s="138" t="s">
        <v>451</v>
      </c>
      <c r="I47" s="138" t="s">
        <v>451</v>
      </c>
      <c r="J47" s="139">
        <f>SUM(J42:J46)</f>
        <v>1846900</v>
      </c>
      <c r="K47" s="70">
        <f>'р.3 2019'!S59</f>
        <v>0</v>
      </c>
      <c r="L47" s="220">
        <f>K47-J47</f>
        <v>-1846900</v>
      </c>
      <c r="P47" s="115"/>
      <c r="T47" s="115"/>
    </row>
    <row r="48" spans="1:22" ht="5.25" customHeight="1" x14ac:dyDescent="0.25">
      <c r="O48" s="93"/>
      <c r="P48" s="115"/>
    </row>
    <row r="49" spans="1:14" ht="5.25" customHeight="1" x14ac:dyDescent="0.25"/>
    <row r="50" spans="1:14" ht="15.75" x14ac:dyDescent="0.25">
      <c r="A50" s="301" t="s">
        <v>789</v>
      </c>
      <c r="B50" s="301"/>
      <c r="C50" s="301"/>
      <c r="D50" s="301"/>
      <c r="E50" s="301"/>
      <c r="F50" s="301"/>
      <c r="G50" s="301"/>
      <c r="H50" s="301"/>
      <c r="I50" s="301"/>
      <c r="J50" s="301"/>
      <c r="N50" s="93">
        <f>J46+L47</f>
        <v>-450204</v>
      </c>
    </row>
    <row r="51" spans="1:14" ht="15.75" x14ac:dyDescent="0.25">
      <c r="A51" s="116" t="s">
        <v>787</v>
      </c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4" x14ac:dyDescent="0.25">
      <c r="A52" s="302" t="s">
        <v>442</v>
      </c>
      <c r="B52" s="302" t="s">
        <v>443</v>
      </c>
      <c r="C52" s="302" t="s">
        <v>444</v>
      </c>
      <c r="D52" s="302" t="s">
        <v>445</v>
      </c>
      <c r="E52" s="302"/>
      <c r="F52" s="302"/>
      <c r="G52" s="302"/>
      <c r="H52" s="302" t="s">
        <v>693</v>
      </c>
      <c r="I52" s="302" t="s">
        <v>446</v>
      </c>
      <c r="J52" s="302" t="s">
        <v>687</v>
      </c>
    </row>
    <row r="53" spans="1:14" x14ac:dyDescent="0.25">
      <c r="A53" s="302"/>
      <c r="B53" s="302"/>
      <c r="C53" s="302"/>
      <c r="D53" s="302" t="s">
        <v>405</v>
      </c>
      <c r="E53" s="302" t="s">
        <v>187</v>
      </c>
      <c r="F53" s="302"/>
      <c r="G53" s="302"/>
      <c r="H53" s="302"/>
      <c r="I53" s="302"/>
      <c r="J53" s="302"/>
    </row>
    <row r="54" spans="1:14" ht="70.5" customHeight="1" x14ac:dyDescent="0.25">
      <c r="A54" s="302"/>
      <c r="B54" s="302"/>
      <c r="C54" s="302"/>
      <c r="D54" s="302"/>
      <c r="E54" s="234" t="s">
        <v>447</v>
      </c>
      <c r="F54" s="234" t="s">
        <v>448</v>
      </c>
      <c r="G54" s="234" t="s">
        <v>449</v>
      </c>
      <c r="H54" s="302"/>
      <c r="I54" s="302"/>
      <c r="J54" s="302"/>
    </row>
    <row r="55" spans="1:14" x14ac:dyDescent="0.25">
      <c r="A55" s="234">
        <v>1</v>
      </c>
      <c r="B55" s="234">
        <v>2</v>
      </c>
      <c r="C55" s="234">
        <v>3</v>
      </c>
      <c r="D55" s="234">
        <v>4</v>
      </c>
      <c r="E55" s="234">
        <v>5</v>
      </c>
      <c r="F55" s="234">
        <v>6</v>
      </c>
      <c r="G55" s="234">
        <v>7</v>
      </c>
      <c r="H55" s="234">
        <v>8</v>
      </c>
      <c r="I55" s="234">
        <v>9</v>
      </c>
      <c r="J55" s="234">
        <v>10</v>
      </c>
    </row>
    <row r="56" spans="1:14" ht="27" customHeight="1" x14ac:dyDescent="0.25">
      <c r="A56" s="234">
        <v>2</v>
      </c>
      <c r="B56" s="234" t="s">
        <v>686</v>
      </c>
      <c r="C56" s="136">
        <v>1</v>
      </c>
      <c r="D56" s="136">
        <f t="shared" ref="D56:D60" si="9">E56+F56+G56</f>
        <v>147.79981705831167</v>
      </c>
      <c r="E56" s="136"/>
      <c r="F56" s="136"/>
      <c r="G56" s="136">
        <v>147.79981705831167</v>
      </c>
      <c r="H56" s="234">
        <v>80</v>
      </c>
      <c r="I56" s="234">
        <v>0.7</v>
      </c>
      <c r="J56" s="133">
        <f t="shared" ref="J56:J59" si="10">ROUND(C56*D56*(1+H56/100+I56)*12,0)</f>
        <v>4434</v>
      </c>
      <c r="N56" s="115">
        <f>ROUND($K$61*N42,0)</f>
        <v>140056</v>
      </c>
    </row>
    <row r="57" spans="1:14" ht="15" customHeight="1" x14ac:dyDescent="0.25">
      <c r="A57" s="234">
        <v>4</v>
      </c>
      <c r="B57" s="137" t="s">
        <v>691</v>
      </c>
      <c r="C57" s="136">
        <v>1</v>
      </c>
      <c r="D57" s="136">
        <f t="shared" si="9"/>
        <v>94.611746938775539</v>
      </c>
      <c r="E57" s="136"/>
      <c r="F57" s="136"/>
      <c r="G57" s="136">
        <v>94.611746938775539</v>
      </c>
      <c r="H57" s="234">
        <v>80</v>
      </c>
      <c r="I57" s="234">
        <v>0.7</v>
      </c>
      <c r="J57" s="133">
        <f t="shared" si="10"/>
        <v>2838</v>
      </c>
      <c r="N57" s="115">
        <f t="shared" ref="N57:N60" si="11">ROUND($K$61*N43,0)</f>
        <v>89649</v>
      </c>
    </row>
    <row r="58" spans="1:14" ht="15" customHeight="1" x14ac:dyDescent="0.25">
      <c r="A58" s="234">
        <v>5</v>
      </c>
      <c r="B58" s="137" t="s">
        <v>692</v>
      </c>
      <c r="C58" s="136">
        <v>3</v>
      </c>
      <c r="D58" s="136">
        <f t="shared" si="9"/>
        <v>147.74204749057151</v>
      </c>
      <c r="E58" s="136"/>
      <c r="F58" s="136"/>
      <c r="G58" s="136">
        <v>147.74204749057151</v>
      </c>
      <c r="H58" s="234">
        <v>80</v>
      </c>
      <c r="I58" s="234">
        <v>0.7</v>
      </c>
      <c r="J58" s="133">
        <f t="shared" si="10"/>
        <v>13297</v>
      </c>
      <c r="N58" s="115">
        <f t="shared" si="11"/>
        <v>420051</v>
      </c>
    </row>
    <row r="59" spans="1:14" ht="15" customHeight="1" x14ac:dyDescent="0.25">
      <c r="A59" s="234">
        <v>6</v>
      </c>
      <c r="B59" s="137" t="s">
        <v>688</v>
      </c>
      <c r="C59" s="136">
        <v>3.5</v>
      </c>
      <c r="D59" s="136">
        <f t="shared" si="9"/>
        <v>127.03827382716048</v>
      </c>
      <c r="E59" s="136"/>
      <c r="F59" s="136"/>
      <c r="G59" s="136">
        <v>127.03827382716048</v>
      </c>
      <c r="H59" s="234">
        <v>80</v>
      </c>
      <c r="I59" s="234">
        <v>0.7</v>
      </c>
      <c r="J59" s="133">
        <f t="shared" si="10"/>
        <v>13339</v>
      </c>
      <c r="N59" s="115">
        <f t="shared" si="11"/>
        <v>421383</v>
      </c>
    </row>
    <row r="60" spans="1:14" ht="15" customHeight="1" x14ac:dyDescent="0.25">
      <c r="A60" s="234">
        <v>7</v>
      </c>
      <c r="B60" s="137" t="s">
        <v>689</v>
      </c>
      <c r="C60" s="136">
        <v>23.75</v>
      </c>
      <c r="D60" s="136">
        <f t="shared" si="9"/>
        <v>147.63962661140604</v>
      </c>
      <c r="E60" s="136"/>
      <c r="F60" s="136"/>
      <c r="G60" s="136">
        <v>147.63962661140604</v>
      </c>
      <c r="H60" s="234">
        <v>80</v>
      </c>
      <c r="I60" s="234">
        <v>0.7</v>
      </c>
      <c r="J60" s="133">
        <f>ROUND(C60*D60*(1+H60/100+I60)*12,0)</f>
        <v>105193</v>
      </c>
      <c r="N60" s="115">
        <f t="shared" si="11"/>
        <v>3323061</v>
      </c>
    </row>
    <row r="61" spans="1:14" x14ac:dyDescent="0.25">
      <c r="A61" s="300" t="s">
        <v>450</v>
      </c>
      <c r="B61" s="300"/>
      <c r="C61" s="138" t="s">
        <v>451</v>
      </c>
      <c r="D61" s="138"/>
      <c r="E61" s="138" t="s">
        <v>451</v>
      </c>
      <c r="F61" s="138" t="s">
        <v>451</v>
      </c>
      <c r="G61" s="138" t="s">
        <v>451</v>
      </c>
      <c r="H61" s="138" t="s">
        <v>451</v>
      </c>
      <c r="I61" s="138" t="s">
        <v>451</v>
      </c>
      <c r="J61" s="139">
        <f>SUM(J56:J60)</f>
        <v>139101</v>
      </c>
      <c r="K61" s="70">
        <f>'р.3 2019'!T59</f>
        <v>4394200</v>
      </c>
      <c r="L61" s="220">
        <f>J61-K61</f>
        <v>-4255099</v>
      </c>
    </row>
  </sheetData>
  <mergeCells count="49">
    <mergeCell ref="A9:J9"/>
    <mergeCell ref="A2:J2"/>
    <mergeCell ref="A5:J5"/>
    <mergeCell ref="A3:J3"/>
    <mergeCell ref="A4:J4"/>
    <mergeCell ref="A6:J6"/>
    <mergeCell ref="A7:J7"/>
    <mergeCell ref="A8:J8"/>
    <mergeCell ref="A17:J17"/>
    <mergeCell ref="A15:J15"/>
    <mergeCell ref="A13:J13"/>
    <mergeCell ref="A12:J12"/>
    <mergeCell ref="A11:J11"/>
    <mergeCell ref="A14:J14"/>
    <mergeCell ref="A20:J20"/>
    <mergeCell ref="A18:J18"/>
    <mergeCell ref="J22:J24"/>
    <mergeCell ref="D23:D24"/>
    <mergeCell ref="E23:G23"/>
    <mergeCell ref="H22:H24"/>
    <mergeCell ref="I22:I24"/>
    <mergeCell ref="A33:B33"/>
    <mergeCell ref="A22:A24"/>
    <mergeCell ref="B22:B24"/>
    <mergeCell ref="C22:C24"/>
    <mergeCell ref="D22:G22"/>
    <mergeCell ref="A47:B47"/>
    <mergeCell ref="A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61:B61"/>
    <mergeCell ref="A50:J50"/>
    <mergeCell ref="A52:A54"/>
    <mergeCell ref="B52:B54"/>
    <mergeCell ref="C52:C54"/>
    <mergeCell ref="D52:G52"/>
    <mergeCell ref="H52:H54"/>
    <mergeCell ref="I52:I54"/>
    <mergeCell ref="J52:J54"/>
    <mergeCell ref="D53:D54"/>
    <mergeCell ref="E53:G53"/>
  </mergeCells>
  <phoneticPr fontId="38" type="noConversion"/>
  <pageMargins left="0.47244094488188981" right="0.27559055118110237" top="0.47244094488188981" bottom="0.47244094488188981" header="0.19685039370078741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28</vt:i4>
      </vt:variant>
    </vt:vector>
  </HeadingPairs>
  <TitlesOfParts>
    <vt:vector size="51" baseType="lpstr">
      <vt:lpstr>титул</vt:lpstr>
      <vt:lpstr>1, 2 раздел</vt:lpstr>
      <vt:lpstr>р.3 2019</vt:lpstr>
      <vt:lpstr>р.3 2020(1)</vt:lpstr>
      <vt:lpstr>р.3 2021(1)</vt:lpstr>
      <vt:lpstr>р.3 2021</vt:lpstr>
      <vt:lpstr>р.3.1</vt:lpstr>
      <vt:lpstr>р. 4, 5</vt:lpstr>
      <vt:lpstr>расч. 211(2000)2018</vt:lpstr>
      <vt:lpstr>рас.212-1104,212-1152(2108)2018</vt:lpstr>
      <vt:lpstr>1.3,1.4 ст.213(00,02,35,36)2018</vt:lpstr>
      <vt:lpstr>1.5. 212-1101(2101),212-1124(18</vt:lpstr>
      <vt:lpstr>1.6.расч.290-1150(2108)2018</vt:lpstr>
      <vt:lpstr>290,221,222,223,225,226(2018)</vt:lpstr>
      <vt:lpstr>расч. 211(2000,2002)19</vt:lpstr>
      <vt:lpstr>расч. 211(2000,2002)20</vt:lpstr>
      <vt:lpstr>212-1104,212-1152(2108) 19-20</vt:lpstr>
      <vt:lpstr>1.3,1.4 ст.213(2000)19,20</vt:lpstr>
      <vt:lpstr>1.6.расч.290-1150(2108)19,20 (2</vt:lpstr>
      <vt:lpstr>290,221,222,223,225,226(19,20)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'1.6.расч.290-1150(2108)19,20 (2'!Заголовки_для_печати</vt:lpstr>
      <vt:lpstr>'1.6.расч.290-1150(2108)2018'!Заголовки_для_печати</vt:lpstr>
      <vt:lpstr>'212-1104,212-1152(2108) 19-20'!Заголовки_для_печати</vt:lpstr>
      <vt:lpstr>'р.3 2019'!Заголовки_для_печати</vt:lpstr>
      <vt:lpstr>'р.3 2020(1)'!Заголовки_для_печати</vt:lpstr>
      <vt:lpstr>'р.3 2021'!Заголовки_для_печати</vt:lpstr>
      <vt:lpstr>'р.3 2021(1)'!Заголовки_для_печати</vt:lpstr>
      <vt:lpstr>'рас.212-1104,212-1152(2108)2018'!Заголовки_для_печати</vt:lpstr>
      <vt:lpstr>'(внебюджет остатки)'!Область_печати</vt:lpstr>
      <vt:lpstr>'1.3,1.4 ст.213(00,02,35,36)2018'!Область_печати</vt:lpstr>
      <vt:lpstr>'1.3,1.4 ст.213(2000)19,20'!Область_печати</vt:lpstr>
      <vt:lpstr>'1.5. 212-1101(2101),212-1124(18'!Область_печати</vt:lpstr>
      <vt:lpstr>'1.6.расч.290-1150(2108)19,20 (2'!Область_печати</vt:lpstr>
      <vt:lpstr>'1.6.расч.290-1150(2108)2018'!Область_печати</vt:lpstr>
      <vt:lpstr>'212-1104,212-1152(2108) 19-20'!Область_печати</vt:lpstr>
      <vt:lpstr>'290,221,222,223,225,226(19,20)'!Область_печати</vt:lpstr>
      <vt:lpstr>'290,221,222,223,225,226(2018)'!Область_печати</vt:lpstr>
      <vt:lpstr>'р. 4, 5'!Область_печати</vt:lpstr>
      <vt:lpstr>'р.3 2019'!Область_печати</vt:lpstr>
      <vt:lpstr>'р.3 2020(1)'!Область_печати</vt:lpstr>
      <vt:lpstr>'р.3 2021'!Область_печати</vt:lpstr>
      <vt:lpstr>'р.3 2021(1)'!Область_печати</vt:lpstr>
      <vt:lpstr>р.3.1!Область_печати</vt:lpstr>
      <vt:lpstr>'рас.212-1104,212-1152(2108)2018'!Область_печати</vt:lpstr>
      <vt:lpstr>'расч. 211(2000)2018'!Область_печати</vt:lpstr>
      <vt:lpstr>'расч. 211(2000,2002)19'!Область_печати</vt:lpstr>
      <vt:lpstr>'расч. 211(2000,2002)20'!Область_печати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Пользователь Windows</cp:lastModifiedBy>
  <cp:lastPrinted>2019-01-18T06:42:13Z</cp:lastPrinted>
  <dcterms:created xsi:type="dcterms:W3CDTF">2016-12-19T01:59:27Z</dcterms:created>
  <dcterms:modified xsi:type="dcterms:W3CDTF">2019-01-22T02:56:48Z</dcterms:modified>
</cp:coreProperties>
</file>