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20" yWindow="6180" windowWidth="13020" windowHeight="5870" tabRatio="921" activeTab="6"/>
  </bookViews>
  <sheets>
    <sheet name="титул" sheetId="7" r:id="rId1"/>
    <sheet name="1, 2 раздел" sheetId="1" r:id="rId2"/>
    <sheet name="р.3 2017" sheetId="12" r:id="rId3"/>
    <sheet name="р.3 2018" sheetId="8" r:id="rId4"/>
    <sheet name="р.3 2019" sheetId="11" r:id="rId5"/>
    <sheet name="р.3.1" sheetId="3" r:id="rId6"/>
    <sheet name="р. 4, 5" sheetId="4" r:id="rId7"/>
    <sheet name="расч. 211(2000,2002)2017" sheetId="5" r:id="rId8"/>
    <sheet name="рас.212-1104,212-1152(2108)2017" sheetId="13" r:id="rId9"/>
    <sheet name="1.3,1.4 ст.213(2000,2002)2017" sheetId="21" r:id="rId10"/>
    <sheet name="1.5.  212-1101(2101)2017" sheetId="15" r:id="rId11"/>
    <sheet name="1.6.расч.290-1150(2108)2017" sheetId="17" r:id="rId12"/>
    <sheet name="290,221,222,223,225,226(2017)" sheetId="14" r:id="rId13"/>
    <sheet name="расч. 211(2000,2002)18-19" sheetId="19" r:id="rId14"/>
    <sheet name="ст.212-1104,212-1152(2108)18,19" sheetId="20" r:id="rId15"/>
    <sheet name="1.3,1.4 ст.213(2000)18,19" sheetId="6" r:id="rId16"/>
    <sheet name="1.6.расч.290-1150(2108)18,19" sheetId="23" r:id="rId17"/>
    <sheet name="290,221,222,223,225,226(18,19)" sheetId="24" r:id="rId18"/>
    <sheet name="(внебюджет остатки)" sheetId="10" state="hidden" r:id="rId19"/>
    <sheet name="наим ДопКР" sheetId="9" state="hidden" r:id="rId20"/>
    <sheet name="Лист1" sheetId="31" state="hidden" r:id="rId21"/>
  </sheets>
  <definedNames>
    <definedName name="_xlnm._FilterDatabase" localSheetId="18" hidden="1">'(внебюджет остатки)'!$A$8:$J$95</definedName>
    <definedName name="_xlnm._FilterDatabase" localSheetId="2" hidden="1">'р.3 2017'!$A$9:$Z$146</definedName>
    <definedName name="_xlnm._FilterDatabase" localSheetId="3" hidden="1">'р.3 2018'!$A$9:$Z$144</definedName>
    <definedName name="_xlnm._FilterDatabase" localSheetId="4" hidden="1">'р.3 2019'!$A$9:$Z$144</definedName>
    <definedName name="_xlnm.Print_Titles" localSheetId="18">'(внебюджет остатки)'!$A:$C,'(внебюджет остатки)'!$6:$8</definedName>
    <definedName name="_xlnm.Print_Titles" localSheetId="16">'1.6.расч.290-1150(2108)18,19'!$4:$5</definedName>
    <definedName name="_xlnm.Print_Titles" localSheetId="11">'1.6.расч.290-1150(2108)2017'!$4:$5</definedName>
    <definedName name="_xlnm.Print_Titles" localSheetId="2">'р.3 2017'!$A:$C,'р.3 2017'!$5:$9</definedName>
    <definedName name="_xlnm.Print_Titles" localSheetId="3">'р.3 2018'!$A:$C,'р.3 2018'!$5:$9</definedName>
    <definedName name="_xlnm.Print_Titles" localSheetId="4">'р.3 2019'!$A:$C,'р.3 2019'!$5:$9</definedName>
    <definedName name="_xlnm.Print_Area" localSheetId="18">'(внебюджет остатки)'!$A$1:$J$97</definedName>
    <definedName name="_xlnm.Print_Area" localSheetId="15">'1.3,1.4 ст.213(2000)18,19'!$A$1:$G$48</definedName>
    <definedName name="_xlnm.Print_Area" localSheetId="9">'1.3,1.4 ст.213(2000,2002)2017'!$A$1:$F$39</definedName>
    <definedName name="_xlnm.Print_Area" localSheetId="10">'1.5.  212-1101(2101)2017'!$A$1:$E$21</definedName>
    <definedName name="_xlnm.Print_Area" localSheetId="16">'1.6.расч.290-1150(2108)18,19'!$A$1:$J$42</definedName>
    <definedName name="_xlnm.Print_Area" localSheetId="11">'1.6.расч.290-1150(2108)2017'!$A$1:$J$42</definedName>
    <definedName name="_xlnm.Print_Area" localSheetId="17">'290,221,222,223,225,226(18,19)'!$A$1:$G$223</definedName>
    <definedName name="_xlnm.Print_Area" localSheetId="12">'290,221,222,223,225,226(2017)'!$A$1:$F$304</definedName>
    <definedName name="_xlnm.Print_Area" localSheetId="6">'р. 4, 5'!$A$1:$D$42</definedName>
    <definedName name="_xlnm.Print_Area" localSheetId="2">'р.3 2017'!$A$1:$Z$148</definedName>
    <definedName name="_xlnm.Print_Area" localSheetId="3">'р.3 2018'!$A$1:$Z$146</definedName>
    <definedName name="_xlnm.Print_Area" localSheetId="4">'р.3 2019'!$A$1:$Z$146</definedName>
    <definedName name="_xlnm.Print_Area" localSheetId="5">р.3.1!$A$1:$L$16</definedName>
    <definedName name="_xlnm.Print_Area" localSheetId="8">'рас.212-1104,212-1152(2108)2017'!$A$1:$J$46</definedName>
    <definedName name="_xlnm.Print_Area" localSheetId="13">'расч. 211(2000,2002)18-19'!$A$1:$K$33</definedName>
    <definedName name="_xlnm.Print_Area" localSheetId="7">'расч. 211(2000,2002)2017'!$A$1:$J$33</definedName>
    <definedName name="_xlnm.Print_Area" localSheetId="14">'ст.212-1104,212-1152(2108)18,19'!$A$1:$K$46</definedName>
  </definedNames>
  <calcPr calcId="114210" fullCalcOnLoad="1"/>
</workbook>
</file>

<file path=xl/calcChain.xml><?xml version="1.0" encoding="utf-8"?>
<calcChain xmlns="http://schemas.openxmlformats.org/spreadsheetml/2006/main">
  <c r="Z135" i="12"/>
  <c r="Z89"/>
  <c r="F301" i="14"/>
  <c r="F243"/>
  <c r="F236"/>
  <c r="G216"/>
  <c r="G215"/>
  <c r="H215"/>
  <c r="F216"/>
  <c r="G213"/>
  <c r="H213"/>
  <c r="F177"/>
  <c r="F176"/>
  <c r="F171"/>
  <c r="F173"/>
  <c r="G178"/>
  <c r="G177"/>
  <c r="G173"/>
  <c r="F169"/>
  <c r="F170"/>
  <c r="F119" i="12"/>
  <c r="H135"/>
  <c r="H124"/>
  <c r="H122"/>
  <c r="H119"/>
  <c r="H114"/>
  <c r="L32"/>
  <c r="L60"/>
  <c r="L76"/>
  <c r="H177" i="14"/>
  <c r="F178"/>
  <c r="H173"/>
  <c r="F195"/>
  <c r="G223"/>
  <c r="F205"/>
  <c r="G268"/>
  <c r="H268"/>
  <c r="F267"/>
  <c r="F266"/>
  <c r="G275"/>
  <c r="F302"/>
  <c r="F299"/>
  <c r="F300"/>
  <c r="F298"/>
  <c r="G304"/>
  <c r="F187"/>
  <c r="H216"/>
  <c r="F268"/>
  <c r="I24" i="13"/>
  <c r="J119" i="12"/>
  <c r="J116"/>
  <c r="F117"/>
  <c r="H116"/>
  <c r="H108"/>
  <c r="H107"/>
  <c r="H69"/>
  <c r="Q106"/>
  <c r="Q63"/>
  <c r="D285" i="14"/>
  <c r="D280"/>
  <c r="Z26" i="12"/>
  <c r="G286" i="14"/>
  <c r="F285"/>
  <c r="F286"/>
  <c r="G294"/>
  <c r="F303"/>
  <c r="F161"/>
  <c r="L24" i="13"/>
  <c r="Q65" i="12"/>
  <c r="Q68"/>
  <c r="H113"/>
  <c r="M87"/>
  <c r="M32"/>
  <c r="F304" i="14"/>
  <c r="H304"/>
  <c r="H286"/>
  <c r="H294"/>
  <c r="G222" i="24"/>
  <c r="G221"/>
  <c r="G223"/>
  <c r="G214"/>
  <c r="G207"/>
  <c r="G198"/>
  <c r="G199"/>
  <c r="G191"/>
  <c r="G192"/>
  <c r="G185"/>
  <c r="G184"/>
  <c r="G178"/>
  <c r="G177"/>
  <c r="G171"/>
  <c r="G170"/>
  <c r="G161"/>
  <c r="G160"/>
  <c r="G159"/>
  <c r="G153"/>
  <c r="G151"/>
  <c r="G152"/>
  <c r="G150"/>
  <c r="G144"/>
  <c r="G141"/>
  <c r="G142"/>
  <c r="G143"/>
  <c r="G140"/>
  <c r="G134"/>
  <c r="G127"/>
  <c r="G126"/>
  <c r="G110"/>
  <c r="G107"/>
  <c r="G106"/>
  <c r="G101"/>
  <c r="G100"/>
  <c r="G99"/>
  <c r="G94"/>
  <c r="G93"/>
  <c r="G92"/>
  <c r="G87"/>
  <c r="G86"/>
  <c r="G85"/>
  <c r="G77"/>
  <c r="G73"/>
  <c r="G74"/>
  <c r="G75"/>
  <c r="G76"/>
  <c r="G72"/>
  <c r="G64"/>
  <c r="G63"/>
  <c r="G58"/>
  <c r="G57"/>
  <c r="G22"/>
  <c r="G21"/>
  <c r="J42" i="23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6"/>
  <c r="E48" i="6"/>
  <c r="H48"/>
  <c r="D48"/>
  <c r="G28"/>
  <c r="G29"/>
  <c r="K46" i="20"/>
  <c r="K33"/>
  <c r="K34"/>
  <c r="K35"/>
  <c r="K36"/>
  <c r="K37"/>
  <c r="K38"/>
  <c r="K39"/>
  <c r="K40"/>
  <c r="K41"/>
  <c r="K42"/>
  <c r="K43"/>
  <c r="K44"/>
  <c r="K45"/>
  <c r="K32"/>
  <c r="K24"/>
  <c r="K25"/>
  <c r="K9"/>
  <c r="K10"/>
  <c r="K11"/>
  <c r="K12"/>
  <c r="K13"/>
  <c r="K14"/>
  <c r="K15"/>
  <c r="K16"/>
  <c r="K17"/>
  <c r="K18"/>
  <c r="K19"/>
  <c r="K20"/>
  <c r="K21"/>
  <c r="K22"/>
  <c r="K23"/>
  <c r="K8"/>
  <c r="K33" i="19"/>
  <c r="K27"/>
  <c r="K28"/>
  <c r="K29"/>
  <c r="K30"/>
  <c r="K31"/>
  <c r="K32"/>
  <c r="K26"/>
  <c r="G281" i="14"/>
  <c r="F280"/>
  <c r="E69"/>
  <c r="G31"/>
  <c r="E31"/>
  <c r="F229"/>
  <c r="L14" i="3"/>
  <c r="L11"/>
  <c r="K14"/>
  <c r="I14"/>
  <c r="H14"/>
  <c r="E14"/>
  <c r="E11"/>
  <c r="F12"/>
  <c r="E12"/>
  <c r="D12"/>
  <c r="K11"/>
  <c r="H31" i="14"/>
  <c r="F281"/>
  <c r="H281"/>
  <c r="F14" i="3"/>
  <c r="F11"/>
  <c r="I11"/>
  <c r="H11"/>
  <c r="H121" i="12"/>
  <c r="F19" i="6"/>
  <c r="G19"/>
  <c r="I31"/>
  <c r="L33" i="19"/>
  <c r="J26" i="5"/>
  <c r="D26"/>
  <c r="G40" i="14"/>
  <c r="F10"/>
  <c r="F11"/>
  <c r="E70"/>
  <c r="E7" i="15"/>
  <c r="A20"/>
  <c r="A19"/>
  <c r="G288" i="14"/>
  <c r="E292"/>
  <c r="E291"/>
  <c r="F291"/>
  <c r="E290"/>
  <c r="F292"/>
  <c r="F290"/>
  <c r="F251"/>
  <c r="F293"/>
  <c r="H288"/>
  <c r="R30" i="12"/>
  <c r="Q30"/>
  <c r="Z17"/>
  <c r="F125"/>
  <c r="Z10"/>
  <c r="F153" i="14"/>
  <c r="N112" i="12"/>
  <c r="N32"/>
  <c r="F152" i="14"/>
  <c r="E40"/>
  <c r="H40"/>
  <c r="F112" i="12"/>
  <c r="F222" i="24"/>
  <c r="F221"/>
  <c r="F223"/>
  <c r="H214"/>
  <c r="F214"/>
  <c r="H207"/>
  <c r="F207"/>
  <c r="F198"/>
  <c r="F199"/>
  <c r="F192"/>
  <c r="F185"/>
  <c r="F177"/>
  <c r="F178"/>
  <c r="F171"/>
  <c r="H161"/>
  <c r="F160"/>
  <c r="F159"/>
  <c r="H153"/>
  <c r="F151"/>
  <c r="F150"/>
  <c r="F153"/>
  <c r="I153"/>
  <c r="F143"/>
  <c r="F142"/>
  <c r="F141"/>
  <c r="F140"/>
  <c r="F134"/>
  <c r="F127"/>
  <c r="H126"/>
  <c r="I126"/>
  <c r="I107"/>
  <c r="D107"/>
  <c r="C107"/>
  <c r="D106"/>
  <c r="F106"/>
  <c r="I100"/>
  <c r="D100"/>
  <c r="C100"/>
  <c r="D99"/>
  <c r="F99"/>
  <c r="D93"/>
  <c r="C93"/>
  <c r="D92"/>
  <c r="C92"/>
  <c r="D86"/>
  <c r="C86"/>
  <c r="F86"/>
  <c r="D85"/>
  <c r="F85"/>
  <c r="D76"/>
  <c r="F76"/>
  <c r="F75"/>
  <c r="D74"/>
  <c r="F74"/>
  <c r="D73"/>
  <c r="F73"/>
  <c r="D72"/>
  <c r="F72"/>
  <c r="H64"/>
  <c r="F63"/>
  <c r="F64"/>
  <c r="H58"/>
  <c r="F57"/>
  <c r="F58"/>
  <c r="E21"/>
  <c r="E22"/>
  <c r="I41" i="23"/>
  <c r="D40"/>
  <c r="I40"/>
  <c r="D39"/>
  <c r="I39"/>
  <c r="I38"/>
  <c r="I37"/>
  <c r="I36"/>
  <c r="I35"/>
  <c r="D34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D11"/>
  <c r="I11"/>
  <c r="I10"/>
  <c r="I9"/>
  <c r="D8"/>
  <c r="I8"/>
  <c r="I7"/>
  <c r="I6"/>
  <c r="F26" i="21"/>
  <c r="F21"/>
  <c r="I45" i="20"/>
  <c r="I44"/>
  <c r="I43"/>
  <c r="I42"/>
  <c r="I41"/>
  <c r="I40"/>
  <c r="I39"/>
  <c r="I38"/>
  <c r="I37"/>
  <c r="I36"/>
  <c r="H36"/>
  <c r="I35"/>
  <c r="I34"/>
  <c r="I33"/>
  <c r="I32"/>
  <c r="I46"/>
  <c r="I24"/>
  <c r="D24"/>
  <c r="I23"/>
  <c r="D23"/>
  <c r="I22"/>
  <c r="D21"/>
  <c r="I21"/>
  <c r="D20"/>
  <c r="I20"/>
  <c r="D19"/>
  <c r="I19"/>
  <c r="I18"/>
  <c r="I17"/>
  <c r="I16"/>
  <c r="I15"/>
  <c r="I14"/>
  <c r="H13"/>
  <c r="I13"/>
  <c r="I12"/>
  <c r="I11"/>
  <c r="I10"/>
  <c r="I9"/>
  <c r="D9"/>
  <c r="I8"/>
  <c r="D32" i="19"/>
  <c r="J32"/>
  <c r="D31"/>
  <c r="J31"/>
  <c r="D30"/>
  <c r="J30"/>
  <c r="D29"/>
  <c r="J29"/>
  <c r="D28"/>
  <c r="J28"/>
  <c r="D27"/>
  <c r="J27"/>
  <c r="D26"/>
  <c r="J26"/>
  <c r="I58" i="24"/>
  <c r="I64"/>
  <c r="F100"/>
  <c r="F107"/>
  <c r="J33" i="19"/>
  <c r="I207" i="24"/>
  <c r="I214"/>
  <c r="F77"/>
  <c r="F92"/>
  <c r="H93"/>
  <c r="F93"/>
  <c r="F144"/>
  <c r="F161"/>
  <c r="I161"/>
  <c r="H86"/>
  <c r="F87"/>
  <c r="F94"/>
  <c r="F101"/>
  <c r="H107"/>
  <c r="J107"/>
  <c r="F110"/>
  <c r="H100"/>
  <c r="J100"/>
  <c r="I42" i="23"/>
  <c r="I25" i="20"/>
  <c r="F274" i="14"/>
  <c r="F273"/>
  <c r="M33" i="19"/>
  <c r="J48" i="20"/>
  <c r="F275" i="14"/>
  <c r="G259"/>
  <c r="F259"/>
  <c r="F252"/>
  <c r="G252"/>
  <c r="F244"/>
  <c r="F237"/>
  <c r="F230"/>
  <c r="F223"/>
  <c r="F206"/>
  <c r="F194"/>
  <c r="G196"/>
  <c r="F185"/>
  <c r="F184"/>
  <c r="C133"/>
  <c r="D133"/>
  <c r="D132"/>
  <c r="F132"/>
  <c r="H133"/>
  <c r="H126"/>
  <c r="D126"/>
  <c r="C126"/>
  <c r="D125"/>
  <c r="F125"/>
  <c r="D112"/>
  <c r="F112"/>
  <c r="D111"/>
  <c r="F111"/>
  <c r="F188"/>
  <c r="F119"/>
  <c r="F126"/>
  <c r="G126"/>
  <c r="I126"/>
  <c r="H252"/>
  <c r="H259"/>
  <c r="G112"/>
  <c r="F133"/>
  <c r="G133"/>
  <c r="I133"/>
  <c r="F118"/>
  <c r="F127"/>
  <c r="F136"/>
  <c r="G119"/>
  <c r="F120"/>
  <c r="F113"/>
  <c r="F196"/>
  <c r="H196"/>
  <c r="G188"/>
  <c r="F162"/>
  <c r="G153"/>
  <c r="H153"/>
  <c r="G152"/>
  <c r="H152"/>
  <c r="F154"/>
  <c r="F102"/>
  <c r="D100"/>
  <c r="F100"/>
  <c r="D99"/>
  <c r="F99"/>
  <c r="D98"/>
  <c r="F98"/>
  <c r="F101"/>
  <c r="I39" i="17"/>
  <c r="I11"/>
  <c r="H188" i="14"/>
  <c r="F103"/>
  <c r="D23" i="13"/>
  <c r="I23"/>
  <c r="D19"/>
  <c r="D20"/>
  <c r="I22"/>
  <c r="I21" i="17"/>
  <c r="I20"/>
  <c r="I41"/>
  <c r="I38"/>
  <c r="I36"/>
  <c r="D34"/>
  <c r="I33"/>
  <c r="I31"/>
  <c r="I29"/>
  <c r="I27"/>
  <c r="I25"/>
  <c r="I23"/>
  <c r="I19"/>
  <c r="I18"/>
  <c r="I17"/>
  <c r="I15"/>
  <c r="I13"/>
  <c r="I10"/>
  <c r="I8"/>
  <c r="I7"/>
  <c r="D40"/>
  <c r="I40"/>
  <c r="I37"/>
  <c r="I35"/>
  <c r="I34"/>
  <c r="I32"/>
  <c r="I30"/>
  <c r="I28"/>
  <c r="I26"/>
  <c r="I24"/>
  <c r="I22"/>
  <c r="I16"/>
  <c r="I14"/>
  <c r="I12"/>
  <c r="I9"/>
  <c r="I6"/>
  <c r="E21" i="15"/>
  <c r="G90" i="14"/>
  <c r="F89"/>
  <c r="F90"/>
  <c r="G84"/>
  <c r="F83"/>
  <c r="F84"/>
  <c r="E22"/>
  <c r="E23"/>
  <c r="H84"/>
  <c r="H90"/>
  <c r="I42" i="17"/>
  <c r="H36" i="13"/>
  <c r="I36"/>
  <c r="I35"/>
  <c r="I45"/>
  <c r="I44"/>
  <c r="I43"/>
  <c r="I42"/>
  <c r="I41"/>
  <c r="I40"/>
  <c r="I39"/>
  <c r="I38"/>
  <c r="I37"/>
  <c r="I34"/>
  <c r="K34"/>
  <c r="I33"/>
  <c r="I32"/>
  <c r="I21"/>
  <c r="I20"/>
  <c r="I19"/>
  <c r="I18"/>
  <c r="I17"/>
  <c r="I16"/>
  <c r="I15"/>
  <c r="I14"/>
  <c r="H13"/>
  <c r="I13"/>
  <c r="I12"/>
  <c r="I11"/>
  <c r="I10"/>
  <c r="D9"/>
  <c r="I9"/>
  <c r="I8"/>
  <c r="K9"/>
  <c r="K36"/>
  <c r="K11"/>
  <c r="K13"/>
  <c r="K32"/>
  <c r="I46"/>
  <c r="I25"/>
  <c r="M24"/>
  <c r="J48"/>
  <c r="D31" i="5"/>
  <c r="J31"/>
  <c r="D29"/>
  <c r="D27"/>
  <c r="D28"/>
  <c r="D30"/>
  <c r="D32"/>
  <c r="J32"/>
  <c r="F26" i="6"/>
  <c r="G26"/>
  <c r="F21"/>
  <c r="G21"/>
  <c r="J27" i="5"/>
  <c r="J28"/>
  <c r="J29"/>
  <c r="J30"/>
  <c r="M30" i="12"/>
  <c r="N30"/>
  <c r="O30"/>
  <c r="P30"/>
  <c r="L30"/>
  <c r="K33"/>
  <c r="K32"/>
  <c r="D32"/>
  <c r="D33"/>
  <c r="J33" i="5"/>
  <c r="H67" i="8"/>
  <c r="H57"/>
  <c r="H19"/>
  <c r="H111" i="11"/>
  <c r="F18" i="6"/>
  <c r="G18"/>
  <c r="E19" i="21"/>
  <c r="E24" i="6"/>
  <c r="E27"/>
  <c r="T145" i="12"/>
  <c r="K145"/>
  <c r="E145"/>
  <c r="D145"/>
  <c r="T144"/>
  <c r="K144"/>
  <c r="E144"/>
  <c r="D144"/>
  <c r="T143"/>
  <c r="K143"/>
  <c r="E143"/>
  <c r="D143"/>
  <c r="T141"/>
  <c r="K141"/>
  <c r="E141"/>
  <c r="D141"/>
  <c r="T140"/>
  <c r="K140"/>
  <c r="E140"/>
  <c r="D140"/>
  <c r="T139"/>
  <c r="K139"/>
  <c r="E139"/>
  <c r="D139"/>
  <c r="T137"/>
  <c r="K137"/>
  <c r="E137"/>
  <c r="D137"/>
  <c r="T135"/>
  <c r="K135"/>
  <c r="E135"/>
  <c r="D135"/>
  <c r="T134"/>
  <c r="K134"/>
  <c r="E134"/>
  <c r="D134"/>
  <c r="T133"/>
  <c r="K133"/>
  <c r="E133"/>
  <c r="D133"/>
  <c r="T132"/>
  <c r="K132"/>
  <c r="E132"/>
  <c r="D132"/>
  <c r="T131"/>
  <c r="K131"/>
  <c r="E131"/>
  <c r="D131"/>
  <c r="T130"/>
  <c r="K130"/>
  <c r="E130"/>
  <c r="D130"/>
  <c r="T129"/>
  <c r="K129"/>
  <c r="E129"/>
  <c r="D129"/>
  <c r="T128"/>
  <c r="K128"/>
  <c r="E128"/>
  <c r="D128"/>
  <c r="T127"/>
  <c r="K127"/>
  <c r="E127"/>
  <c r="D127"/>
  <c r="T126"/>
  <c r="K126"/>
  <c r="E126"/>
  <c r="D126"/>
  <c r="T125"/>
  <c r="K125"/>
  <c r="E125"/>
  <c r="T124"/>
  <c r="K124"/>
  <c r="E124"/>
  <c r="D124"/>
  <c r="T123"/>
  <c r="K123"/>
  <c r="E123"/>
  <c r="D123"/>
  <c r="T122"/>
  <c r="K122"/>
  <c r="E122"/>
  <c r="D122"/>
  <c r="T121"/>
  <c r="K121"/>
  <c r="E121"/>
  <c r="D121"/>
  <c r="T120"/>
  <c r="K120"/>
  <c r="E120"/>
  <c r="D120"/>
  <c r="T119"/>
  <c r="K119"/>
  <c r="E119"/>
  <c r="D119"/>
  <c r="T118"/>
  <c r="K118"/>
  <c r="E118"/>
  <c r="D118"/>
  <c r="T117"/>
  <c r="K117"/>
  <c r="E117"/>
  <c r="D117"/>
  <c r="T116"/>
  <c r="K116"/>
  <c r="E116"/>
  <c r="D116"/>
  <c r="T115"/>
  <c r="K115"/>
  <c r="E115"/>
  <c r="D115"/>
  <c r="T114"/>
  <c r="K114"/>
  <c r="E114"/>
  <c r="D114"/>
  <c r="T113"/>
  <c r="K113"/>
  <c r="E113"/>
  <c r="D113"/>
  <c r="T112"/>
  <c r="K112"/>
  <c r="E112"/>
  <c r="T111"/>
  <c r="K111"/>
  <c r="E111"/>
  <c r="D111"/>
  <c r="T110"/>
  <c r="K110"/>
  <c r="E110"/>
  <c r="D110"/>
  <c r="T109"/>
  <c r="K109"/>
  <c r="E109"/>
  <c r="D109"/>
  <c r="T108"/>
  <c r="K108"/>
  <c r="E108"/>
  <c r="D108"/>
  <c r="T107"/>
  <c r="K107"/>
  <c r="E107"/>
  <c r="D107"/>
  <c r="T106"/>
  <c r="K106"/>
  <c r="E106"/>
  <c r="D106"/>
  <c r="T105"/>
  <c r="K105"/>
  <c r="E105"/>
  <c r="D105"/>
  <c r="T104"/>
  <c r="K104"/>
  <c r="E104"/>
  <c r="D104"/>
  <c r="T103"/>
  <c r="K103"/>
  <c r="E103"/>
  <c r="D103"/>
  <c r="T102"/>
  <c r="K102"/>
  <c r="E102"/>
  <c r="D102"/>
  <c r="T101"/>
  <c r="K101"/>
  <c r="E101"/>
  <c r="D101"/>
  <c r="T100"/>
  <c r="K100"/>
  <c r="E100"/>
  <c r="D100"/>
  <c r="Z98"/>
  <c r="Z96"/>
  <c r="Y98"/>
  <c r="X98"/>
  <c r="X96"/>
  <c r="W98"/>
  <c r="V98"/>
  <c r="U98"/>
  <c r="S98"/>
  <c r="R98"/>
  <c r="Q98"/>
  <c r="P98"/>
  <c r="O98"/>
  <c r="N98"/>
  <c r="M98"/>
  <c r="L98"/>
  <c r="J98"/>
  <c r="I98"/>
  <c r="H98"/>
  <c r="H96"/>
  <c r="G98"/>
  <c r="F98"/>
  <c r="F96"/>
  <c r="D97"/>
  <c r="Y96"/>
  <c r="W96"/>
  <c r="V96"/>
  <c r="U96"/>
  <c r="S96"/>
  <c r="R96"/>
  <c r="Q96"/>
  <c r="P96"/>
  <c r="O96"/>
  <c r="N96"/>
  <c r="M96"/>
  <c r="L96"/>
  <c r="J96"/>
  <c r="I96"/>
  <c r="G96"/>
  <c r="T94"/>
  <c r="K94"/>
  <c r="E94"/>
  <c r="T92"/>
  <c r="D92"/>
  <c r="T90"/>
  <c r="K90"/>
  <c r="E90"/>
  <c r="T89"/>
  <c r="K89"/>
  <c r="E89"/>
  <c r="T88"/>
  <c r="K88"/>
  <c r="E88"/>
  <c r="T87"/>
  <c r="K87"/>
  <c r="E87"/>
  <c r="Z85"/>
  <c r="Y85"/>
  <c r="X85"/>
  <c r="X80"/>
  <c r="W85"/>
  <c r="V85"/>
  <c r="U85"/>
  <c r="S85"/>
  <c r="R85"/>
  <c r="Q85"/>
  <c r="P85"/>
  <c r="P80"/>
  <c r="O85"/>
  <c r="N85"/>
  <c r="M85"/>
  <c r="L85"/>
  <c r="L80"/>
  <c r="J85"/>
  <c r="J80"/>
  <c r="I85"/>
  <c r="H85"/>
  <c r="H80"/>
  <c r="G85"/>
  <c r="F85"/>
  <c r="T84"/>
  <c r="K84"/>
  <c r="E84"/>
  <c r="D84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I80"/>
  <c r="H82"/>
  <c r="G82"/>
  <c r="G80"/>
  <c r="F82"/>
  <c r="E82"/>
  <c r="D82"/>
  <c r="Z80"/>
  <c r="V80"/>
  <c r="R80"/>
  <c r="N80"/>
  <c r="T79"/>
  <c r="K79"/>
  <c r="E79"/>
  <c r="D79"/>
  <c r="T78"/>
  <c r="K78"/>
  <c r="E78"/>
  <c r="T77"/>
  <c r="K77"/>
  <c r="E77"/>
  <c r="D77"/>
  <c r="T76"/>
  <c r="K76"/>
  <c r="E76"/>
  <c r="T75"/>
  <c r="K75"/>
  <c r="E75"/>
  <c r="D75"/>
  <c r="T74"/>
  <c r="K74"/>
  <c r="E74"/>
  <c r="Z72"/>
  <c r="Z70"/>
  <c r="Y72"/>
  <c r="Y70"/>
  <c r="X72"/>
  <c r="X70"/>
  <c r="W72"/>
  <c r="W70"/>
  <c r="V72"/>
  <c r="V70"/>
  <c r="U72"/>
  <c r="S72"/>
  <c r="S70"/>
  <c r="R72"/>
  <c r="Q72"/>
  <c r="Q70"/>
  <c r="P72"/>
  <c r="O72"/>
  <c r="O70"/>
  <c r="N72"/>
  <c r="M72"/>
  <c r="M70"/>
  <c r="L72"/>
  <c r="K72"/>
  <c r="J72"/>
  <c r="I72"/>
  <c r="I70"/>
  <c r="H72"/>
  <c r="G72"/>
  <c r="G70"/>
  <c r="F72"/>
  <c r="E72"/>
  <c r="R70"/>
  <c r="P70"/>
  <c r="N70"/>
  <c r="J70"/>
  <c r="H70"/>
  <c r="F70"/>
  <c r="T69"/>
  <c r="K69"/>
  <c r="E69"/>
  <c r="D69"/>
  <c r="T68"/>
  <c r="K68"/>
  <c r="E68"/>
  <c r="D68"/>
  <c r="T67"/>
  <c r="K67"/>
  <c r="E67"/>
  <c r="D67"/>
  <c r="T66"/>
  <c r="K66"/>
  <c r="E66"/>
  <c r="D66"/>
  <c r="T65"/>
  <c r="K65"/>
  <c r="D65"/>
  <c r="K45" i="13"/>
  <c r="L45"/>
  <c r="E65" i="12"/>
  <c r="T64"/>
  <c r="K64"/>
  <c r="E64"/>
  <c r="D64"/>
  <c r="T63"/>
  <c r="K63"/>
  <c r="E63"/>
  <c r="D63"/>
  <c r="T62"/>
  <c r="K62"/>
  <c r="E62"/>
  <c r="D62"/>
  <c r="T61"/>
  <c r="K61"/>
  <c r="E61"/>
  <c r="D61"/>
  <c r="T60"/>
  <c r="K60"/>
  <c r="D60"/>
  <c r="E60"/>
  <c r="T59"/>
  <c r="K59"/>
  <c r="E59"/>
  <c r="D59"/>
  <c r="Z57"/>
  <c r="Y57"/>
  <c r="Y55"/>
  <c r="X57"/>
  <c r="W57"/>
  <c r="W55"/>
  <c r="V57"/>
  <c r="U57"/>
  <c r="S57"/>
  <c r="S55"/>
  <c r="R57"/>
  <c r="R55"/>
  <c r="Q57"/>
  <c r="Q55"/>
  <c r="P57"/>
  <c r="O57"/>
  <c r="O55"/>
  <c r="N57"/>
  <c r="N55"/>
  <c r="M57"/>
  <c r="M55"/>
  <c r="L57"/>
  <c r="J57"/>
  <c r="I57"/>
  <c r="I55"/>
  <c r="H57"/>
  <c r="H55"/>
  <c r="G57"/>
  <c r="G55"/>
  <c r="F57"/>
  <c r="F55"/>
  <c r="Z55"/>
  <c r="X55"/>
  <c r="V55"/>
  <c r="P55"/>
  <c r="J55"/>
  <c r="T51"/>
  <c r="D51"/>
  <c r="T49"/>
  <c r="D49"/>
  <c r="T48"/>
  <c r="D48"/>
  <c r="T47"/>
  <c r="D47"/>
  <c r="T46"/>
  <c r="D46"/>
  <c r="T45"/>
  <c r="D45"/>
  <c r="T43"/>
  <c r="D43"/>
  <c r="T41"/>
  <c r="D41"/>
  <c r="D40"/>
  <c r="D39"/>
  <c r="D38"/>
  <c r="T37"/>
  <c r="D37"/>
  <c r="T36"/>
  <c r="D36"/>
  <c r="Y34"/>
  <c r="T34"/>
  <c r="D34"/>
  <c r="K30"/>
  <c r="D30"/>
  <c r="T28"/>
  <c r="D28"/>
  <c r="T26"/>
  <c r="D26"/>
  <c r="T24"/>
  <c r="D24"/>
  <c r="T23"/>
  <c r="D23"/>
  <c r="T22"/>
  <c r="D22"/>
  <c r="T21"/>
  <c r="D21"/>
  <c r="T20"/>
  <c r="D20"/>
  <c r="E19"/>
  <c r="D19"/>
  <c r="Y17"/>
  <c r="W17"/>
  <c r="V17"/>
  <c r="V10"/>
  <c r="U17"/>
  <c r="J17"/>
  <c r="I17"/>
  <c r="I10"/>
  <c r="H17"/>
  <c r="E17"/>
  <c r="T15"/>
  <c r="D15"/>
  <c r="T14"/>
  <c r="D14"/>
  <c r="T12"/>
  <c r="D12"/>
  <c r="X10"/>
  <c r="W10"/>
  <c r="U10"/>
  <c r="R10"/>
  <c r="Q10"/>
  <c r="P10"/>
  <c r="O10"/>
  <c r="N10"/>
  <c r="M10"/>
  <c r="L10"/>
  <c r="J10"/>
  <c r="H10"/>
  <c r="G10"/>
  <c r="F10"/>
  <c r="Q96" i="11"/>
  <c r="Q94"/>
  <c r="Q83"/>
  <c r="Q80"/>
  <c r="Q78"/>
  <c r="Q70"/>
  <c r="Q68"/>
  <c r="Q55"/>
  <c r="Q53"/>
  <c r="Q51"/>
  <c r="Q10"/>
  <c r="Q96" i="8"/>
  <c r="Q94"/>
  <c r="Q83"/>
  <c r="Q80"/>
  <c r="Q78"/>
  <c r="Q70"/>
  <c r="Q68"/>
  <c r="Q55"/>
  <c r="Q53"/>
  <c r="Q51"/>
  <c r="Q50"/>
  <c r="Q10"/>
  <c r="H199" i="24"/>
  <c r="I199"/>
  <c r="G244" i="14"/>
  <c r="H244"/>
  <c r="G237"/>
  <c r="H237"/>
  <c r="H192" i="24"/>
  <c r="I192"/>
  <c r="H144"/>
  <c r="I144"/>
  <c r="H178" i="14"/>
  <c r="L70" i="12"/>
  <c r="H171" i="24"/>
  <c r="I171"/>
  <c r="G206" i="14"/>
  <c r="H206"/>
  <c r="D125" i="12"/>
  <c r="I93" i="24"/>
  <c r="J93"/>
  <c r="H119" i="14"/>
  <c r="I119"/>
  <c r="I86" i="24"/>
  <c r="J86"/>
  <c r="H112" i="14"/>
  <c r="I112"/>
  <c r="K96" i="12"/>
  <c r="K98"/>
  <c r="H77" i="24"/>
  <c r="I77"/>
  <c r="G103" i="14"/>
  <c r="H103"/>
  <c r="K42" i="23"/>
  <c r="L42"/>
  <c r="K42" i="17"/>
  <c r="L42"/>
  <c r="K57" i="12"/>
  <c r="H134" i="24"/>
  <c r="I134"/>
  <c r="G162" i="14"/>
  <c r="H162"/>
  <c r="Y10" i="12"/>
  <c r="T17"/>
  <c r="L55"/>
  <c r="L53"/>
  <c r="F24" i="6"/>
  <c r="G24"/>
  <c r="D87" i="12"/>
  <c r="G23" i="14"/>
  <c r="D89" i="12"/>
  <c r="H185" i="24"/>
  <c r="I185"/>
  <c r="G230" i="14"/>
  <c r="H230"/>
  <c r="H178" i="24"/>
  <c r="I178"/>
  <c r="H223" i="14"/>
  <c r="F19" i="21"/>
  <c r="F18"/>
  <c r="E24"/>
  <c r="I53" i="12"/>
  <c r="F21" i="15"/>
  <c r="G21"/>
  <c r="D74" i="12"/>
  <c r="D76"/>
  <c r="G11" i="14"/>
  <c r="H11"/>
  <c r="D78" i="12"/>
  <c r="V53"/>
  <c r="Z53"/>
  <c r="H31" i="21"/>
  <c r="K70" i="12"/>
  <c r="T72"/>
  <c r="D72"/>
  <c r="G53"/>
  <c r="G146"/>
  <c r="D17"/>
  <c r="I146"/>
  <c r="H223" i="24"/>
  <c r="I223"/>
  <c r="H275" i="14"/>
  <c r="D112" i="12"/>
  <c r="X53"/>
  <c r="T85"/>
  <c r="P53"/>
  <c r="P146"/>
  <c r="W80"/>
  <c r="W53"/>
  <c r="Y80"/>
  <c r="Y53"/>
  <c r="Y146"/>
  <c r="H127" i="24"/>
  <c r="I127"/>
  <c r="G154" i="14"/>
  <c r="H154"/>
  <c r="N53" i="12"/>
  <c r="N146"/>
  <c r="R53"/>
  <c r="R146"/>
  <c r="E96"/>
  <c r="G14" i="3"/>
  <c r="G11"/>
  <c r="E98" i="12"/>
  <c r="E57"/>
  <c r="D57"/>
  <c r="E85"/>
  <c r="J53"/>
  <c r="J146"/>
  <c r="F80"/>
  <c r="E80"/>
  <c r="M80"/>
  <c r="M53"/>
  <c r="M146"/>
  <c r="O80"/>
  <c r="O53"/>
  <c r="O146"/>
  <c r="Q80"/>
  <c r="Q53"/>
  <c r="Q146"/>
  <c r="S80"/>
  <c r="S53"/>
  <c r="K85"/>
  <c r="D88"/>
  <c r="D90"/>
  <c r="D94"/>
  <c r="F27" i="6"/>
  <c r="E30"/>
  <c r="F30"/>
  <c r="G30"/>
  <c r="T96" i="12"/>
  <c r="T98"/>
  <c r="K10"/>
  <c r="E55"/>
  <c r="T57"/>
  <c r="U55"/>
  <c r="E10"/>
  <c r="T10"/>
  <c r="H53"/>
  <c r="H146"/>
  <c r="K55"/>
  <c r="E70"/>
  <c r="U70"/>
  <c r="T70"/>
  <c r="U80"/>
  <c r="T80"/>
  <c r="Q50" i="11"/>
  <c r="D98" i="12"/>
  <c r="D96"/>
  <c r="J14" i="3"/>
  <c r="F23" i="6"/>
  <c r="G23"/>
  <c r="G31"/>
  <c r="G27"/>
  <c r="E27" i="21"/>
  <c r="F24"/>
  <c r="Z146" i="12"/>
  <c r="Z52"/>
  <c r="D85"/>
  <c r="F53"/>
  <c r="F146"/>
  <c r="E146"/>
  <c r="K80"/>
  <c r="D80"/>
  <c r="F31" i="6"/>
  <c r="H31"/>
  <c r="K53" i="12"/>
  <c r="L146"/>
  <c r="K146"/>
  <c r="T55"/>
  <c r="U53"/>
  <c r="D70"/>
  <c r="D10"/>
  <c r="D55"/>
  <c r="D14" i="3"/>
  <c r="D11"/>
  <c r="J11"/>
  <c r="F27" i="21"/>
  <c r="F23"/>
  <c r="E30"/>
  <c r="F30"/>
  <c r="F31"/>
  <c r="G31"/>
  <c r="T146" i="12"/>
  <c r="D146"/>
  <c r="H22" i="24"/>
  <c r="I22"/>
  <c r="H23" i="14"/>
  <c r="E53" i="12"/>
  <c r="T53"/>
  <c r="D53"/>
  <c r="T144" i="11"/>
  <c r="K144"/>
  <c r="E144"/>
  <c r="D144"/>
  <c r="T143"/>
  <c r="K143"/>
  <c r="E143"/>
  <c r="D143"/>
  <c r="T142"/>
  <c r="K142"/>
  <c r="E142"/>
  <c r="D142"/>
  <c r="T141"/>
  <c r="K141"/>
  <c r="E141"/>
  <c r="D141"/>
  <c r="T139"/>
  <c r="K139"/>
  <c r="E139"/>
  <c r="D139"/>
  <c r="T138"/>
  <c r="K138"/>
  <c r="E138"/>
  <c r="D138"/>
  <c r="T137"/>
  <c r="K137"/>
  <c r="E137"/>
  <c r="D137"/>
  <c r="T135"/>
  <c r="K135"/>
  <c r="E135"/>
  <c r="D135"/>
  <c r="T133"/>
  <c r="K133"/>
  <c r="E133"/>
  <c r="D133"/>
  <c r="T132"/>
  <c r="K132"/>
  <c r="E132"/>
  <c r="D132"/>
  <c r="T131"/>
  <c r="K131"/>
  <c r="E131"/>
  <c r="D131"/>
  <c r="T130"/>
  <c r="K130"/>
  <c r="E130"/>
  <c r="D130"/>
  <c r="T129"/>
  <c r="K129"/>
  <c r="E129"/>
  <c r="D129"/>
  <c r="T128"/>
  <c r="K128"/>
  <c r="E128"/>
  <c r="D128"/>
  <c r="T127"/>
  <c r="K127"/>
  <c r="E127"/>
  <c r="D127"/>
  <c r="T126"/>
  <c r="K126"/>
  <c r="E126"/>
  <c r="D126"/>
  <c r="T125"/>
  <c r="K125"/>
  <c r="E125"/>
  <c r="D125"/>
  <c r="T124"/>
  <c r="K124"/>
  <c r="E124"/>
  <c r="D124"/>
  <c r="T123"/>
  <c r="K123"/>
  <c r="E123"/>
  <c r="D123"/>
  <c r="T122"/>
  <c r="K122"/>
  <c r="E122"/>
  <c r="T121"/>
  <c r="K121"/>
  <c r="E121"/>
  <c r="D121"/>
  <c r="T120"/>
  <c r="K120"/>
  <c r="E120"/>
  <c r="T119"/>
  <c r="K119"/>
  <c r="E119"/>
  <c r="D119"/>
  <c r="T118"/>
  <c r="K118"/>
  <c r="E118"/>
  <c r="T117"/>
  <c r="K117"/>
  <c r="E117"/>
  <c r="D117"/>
  <c r="T116"/>
  <c r="K116"/>
  <c r="E116"/>
  <c r="T115"/>
  <c r="K115"/>
  <c r="E115"/>
  <c r="D115"/>
  <c r="T114"/>
  <c r="K114"/>
  <c r="J114"/>
  <c r="H114"/>
  <c r="E114"/>
  <c r="T113"/>
  <c r="K113"/>
  <c r="E113"/>
  <c r="D113"/>
  <c r="T112"/>
  <c r="K112"/>
  <c r="H112"/>
  <c r="E112"/>
  <c r="T111"/>
  <c r="K111"/>
  <c r="E111"/>
  <c r="D111"/>
  <c r="T110"/>
  <c r="K110"/>
  <c r="E110"/>
  <c r="D110"/>
  <c r="T109"/>
  <c r="K109"/>
  <c r="E109"/>
  <c r="D109"/>
  <c r="T108"/>
  <c r="K108"/>
  <c r="E108"/>
  <c r="D108"/>
  <c r="T107"/>
  <c r="K107"/>
  <c r="E107"/>
  <c r="D107"/>
  <c r="T106"/>
  <c r="K106"/>
  <c r="E106"/>
  <c r="D106"/>
  <c r="T105"/>
  <c r="K105"/>
  <c r="E105"/>
  <c r="D105"/>
  <c r="T104"/>
  <c r="K104"/>
  <c r="E104"/>
  <c r="D104"/>
  <c r="T103"/>
  <c r="K103"/>
  <c r="E103"/>
  <c r="D103"/>
  <c r="T102"/>
  <c r="K102"/>
  <c r="E102"/>
  <c r="D102"/>
  <c r="T101"/>
  <c r="K101"/>
  <c r="E101"/>
  <c r="D101"/>
  <c r="T100"/>
  <c r="K100"/>
  <c r="E100"/>
  <c r="D100"/>
  <c r="T99"/>
  <c r="K99"/>
  <c r="E99"/>
  <c r="D99"/>
  <c r="T98"/>
  <c r="K98"/>
  <c r="E98"/>
  <c r="D98"/>
  <c r="Z96"/>
  <c r="Y96"/>
  <c r="X96"/>
  <c r="W96"/>
  <c r="V96"/>
  <c r="U96"/>
  <c r="T96"/>
  <c r="S96"/>
  <c r="R96"/>
  <c r="P96"/>
  <c r="O96"/>
  <c r="N96"/>
  <c r="M96"/>
  <c r="L96"/>
  <c r="K96"/>
  <c r="J96"/>
  <c r="I96"/>
  <c r="H96"/>
  <c r="G96"/>
  <c r="F96"/>
  <c r="E96"/>
  <c r="D95"/>
  <c r="Z94"/>
  <c r="Y94"/>
  <c r="X94"/>
  <c r="W94"/>
  <c r="V94"/>
  <c r="U94"/>
  <c r="T94"/>
  <c r="S94"/>
  <c r="R94"/>
  <c r="P94"/>
  <c r="O94"/>
  <c r="N94"/>
  <c r="M94"/>
  <c r="L94"/>
  <c r="K94"/>
  <c r="J94"/>
  <c r="I94"/>
  <c r="H94"/>
  <c r="G94"/>
  <c r="T92"/>
  <c r="K92"/>
  <c r="E92"/>
  <c r="T90"/>
  <c r="D90"/>
  <c r="T88"/>
  <c r="K88"/>
  <c r="E88"/>
  <c r="T87"/>
  <c r="K87"/>
  <c r="E87"/>
  <c r="D87"/>
  <c r="T86"/>
  <c r="K86"/>
  <c r="E86"/>
  <c r="T85"/>
  <c r="K85"/>
  <c r="E85"/>
  <c r="D85"/>
  <c r="Z83"/>
  <c r="Y83"/>
  <c r="X83"/>
  <c r="W83"/>
  <c r="V83"/>
  <c r="U83"/>
  <c r="T83"/>
  <c r="S83"/>
  <c r="R83"/>
  <c r="P83"/>
  <c r="O83"/>
  <c r="N83"/>
  <c r="M83"/>
  <c r="L83"/>
  <c r="K83"/>
  <c r="J83"/>
  <c r="I83"/>
  <c r="H83"/>
  <c r="G83"/>
  <c r="F83"/>
  <c r="E83"/>
  <c r="T82"/>
  <c r="K82"/>
  <c r="E82"/>
  <c r="D82"/>
  <c r="Z80"/>
  <c r="Y80"/>
  <c r="Y78"/>
  <c r="X80"/>
  <c r="W80"/>
  <c r="W78"/>
  <c r="V80"/>
  <c r="U80"/>
  <c r="T80"/>
  <c r="S80"/>
  <c r="S78"/>
  <c r="R80"/>
  <c r="P80"/>
  <c r="O80"/>
  <c r="O78"/>
  <c r="N80"/>
  <c r="M80"/>
  <c r="M78"/>
  <c r="L80"/>
  <c r="K80"/>
  <c r="J80"/>
  <c r="I80"/>
  <c r="I78"/>
  <c r="H80"/>
  <c r="G80"/>
  <c r="G78"/>
  <c r="F80"/>
  <c r="E80"/>
  <c r="D80"/>
  <c r="Z78"/>
  <c r="X78"/>
  <c r="V78"/>
  <c r="R78"/>
  <c r="P78"/>
  <c r="N78"/>
  <c r="L78"/>
  <c r="K78"/>
  <c r="J78"/>
  <c r="H78"/>
  <c r="F78"/>
  <c r="E78"/>
  <c r="T77"/>
  <c r="K77"/>
  <c r="E77"/>
  <c r="D77"/>
  <c r="T76"/>
  <c r="K76"/>
  <c r="E76"/>
  <c r="D76"/>
  <c r="T75"/>
  <c r="K75"/>
  <c r="E75"/>
  <c r="D75"/>
  <c r="T74"/>
  <c r="K74"/>
  <c r="E74"/>
  <c r="D74"/>
  <c r="T73"/>
  <c r="K73"/>
  <c r="E73"/>
  <c r="D73"/>
  <c r="T72"/>
  <c r="K72"/>
  <c r="E72"/>
  <c r="D72"/>
  <c r="Z70"/>
  <c r="Y70"/>
  <c r="Y68"/>
  <c r="X70"/>
  <c r="W70"/>
  <c r="W68"/>
  <c r="V70"/>
  <c r="U70"/>
  <c r="T70"/>
  <c r="S70"/>
  <c r="S68"/>
  <c r="R70"/>
  <c r="P70"/>
  <c r="O70"/>
  <c r="O68"/>
  <c r="N70"/>
  <c r="M70"/>
  <c r="M68"/>
  <c r="L70"/>
  <c r="K70"/>
  <c r="J70"/>
  <c r="I70"/>
  <c r="I68"/>
  <c r="H70"/>
  <c r="G70"/>
  <c r="G68"/>
  <c r="F70"/>
  <c r="E70"/>
  <c r="D70"/>
  <c r="Z68"/>
  <c r="X68"/>
  <c r="V68"/>
  <c r="R68"/>
  <c r="P68"/>
  <c r="N68"/>
  <c r="L68"/>
  <c r="K68"/>
  <c r="J68"/>
  <c r="H68"/>
  <c r="F68"/>
  <c r="E68"/>
  <c r="T67"/>
  <c r="K67"/>
  <c r="E67"/>
  <c r="D67"/>
  <c r="T66"/>
  <c r="K66"/>
  <c r="E66"/>
  <c r="D66"/>
  <c r="T65"/>
  <c r="K65"/>
  <c r="E65"/>
  <c r="D65"/>
  <c r="T64"/>
  <c r="K64"/>
  <c r="E64"/>
  <c r="D64"/>
  <c r="T63"/>
  <c r="K63"/>
  <c r="E63"/>
  <c r="D63"/>
  <c r="T62"/>
  <c r="K62"/>
  <c r="E62"/>
  <c r="D62"/>
  <c r="T61"/>
  <c r="K61"/>
  <c r="E61"/>
  <c r="D61"/>
  <c r="T60"/>
  <c r="K60"/>
  <c r="E60"/>
  <c r="D60"/>
  <c r="T59"/>
  <c r="K59"/>
  <c r="E59"/>
  <c r="D59"/>
  <c r="T58"/>
  <c r="K58"/>
  <c r="E58"/>
  <c r="D58"/>
  <c r="T57"/>
  <c r="K57"/>
  <c r="E57"/>
  <c r="D57"/>
  <c r="Z55"/>
  <c r="Y55"/>
  <c r="Y53"/>
  <c r="X55"/>
  <c r="W55"/>
  <c r="W53"/>
  <c r="V55"/>
  <c r="U55"/>
  <c r="S55"/>
  <c r="S53"/>
  <c r="R55"/>
  <c r="P55"/>
  <c r="O55"/>
  <c r="O53"/>
  <c r="N55"/>
  <c r="M55"/>
  <c r="M53"/>
  <c r="L55"/>
  <c r="K55"/>
  <c r="J55"/>
  <c r="I55"/>
  <c r="I53"/>
  <c r="H55"/>
  <c r="G55"/>
  <c r="G53"/>
  <c r="F55"/>
  <c r="E55"/>
  <c r="Z53"/>
  <c r="Z51"/>
  <c r="X53"/>
  <c r="X51"/>
  <c r="V53"/>
  <c r="V51"/>
  <c r="R53"/>
  <c r="R51"/>
  <c r="P53"/>
  <c r="P51"/>
  <c r="N53"/>
  <c r="N51"/>
  <c r="L53"/>
  <c r="J53"/>
  <c r="J51"/>
  <c r="H53"/>
  <c r="Y51"/>
  <c r="W51"/>
  <c r="S51"/>
  <c r="S50"/>
  <c r="O51"/>
  <c r="M51"/>
  <c r="I51"/>
  <c r="G51"/>
  <c r="Z50"/>
  <c r="T49"/>
  <c r="D49"/>
  <c r="T47"/>
  <c r="D47"/>
  <c r="T46"/>
  <c r="D46"/>
  <c r="T45"/>
  <c r="D45"/>
  <c r="T44"/>
  <c r="D44"/>
  <c r="T43"/>
  <c r="D43"/>
  <c r="T41"/>
  <c r="D41"/>
  <c r="T39"/>
  <c r="D39"/>
  <c r="D38"/>
  <c r="D37"/>
  <c r="D36"/>
  <c r="T35"/>
  <c r="D35"/>
  <c r="T34"/>
  <c r="D34"/>
  <c r="Y32"/>
  <c r="T32"/>
  <c r="D32"/>
  <c r="K30"/>
  <c r="D30"/>
  <c r="T28"/>
  <c r="D28"/>
  <c r="T26"/>
  <c r="D26"/>
  <c r="T24"/>
  <c r="D24"/>
  <c r="T23"/>
  <c r="D23"/>
  <c r="T22"/>
  <c r="D22"/>
  <c r="T21"/>
  <c r="D21"/>
  <c r="T20"/>
  <c r="D20"/>
  <c r="E19"/>
  <c r="D19"/>
  <c r="Y17"/>
  <c r="W17"/>
  <c r="V17"/>
  <c r="V10"/>
  <c r="V50"/>
  <c r="U17"/>
  <c r="T17"/>
  <c r="J17"/>
  <c r="I17"/>
  <c r="I10"/>
  <c r="I50"/>
  <c r="H17"/>
  <c r="H10"/>
  <c r="T15"/>
  <c r="D15"/>
  <c r="T14"/>
  <c r="D14"/>
  <c r="T12"/>
  <c r="D12"/>
  <c r="Y10"/>
  <c r="Y50"/>
  <c r="X10"/>
  <c r="X50"/>
  <c r="W10"/>
  <c r="W50"/>
  <c r="U10"/>
  <c r="R10"/>
  <c r="R50"/>
  <c r="P10"/>
  <c r="P50"/>
  <c r="O10"/>
  <c r="O50"/>
  <c r="N10"/>
  <c r="N50"/>
  <c r="M10"/>
  <c r="M50"/>
  <c r="L10"/>
  <c r="K10"/>
  <c r="J10"/>
  <c r="J50"/>
  <c r="G10"/>
  <c r="G50"/>
  <c r="F10"/>
  <c r="H51"/>
  <c r="F94"/>
  <c r="E94"/>
  <c r="F53"/>
  <c r="E53"/>
  <c r="D86"/>
  <c r="D88"/>
  <c r="D92"/>
  <c r="D112"/>
  <c r="D114"/>
  <c r="D116"/>
  <c r="D118"/>
  <c r="D120"/>
  <c r="D122"/>
  <c r="E17"/>
  <c r="D17"/>
  <c r="F51"/>
  <c r="E51"/>
  <c r="T55"/>
  <c r="U53"/>
  <c r="D83"/>
  <c r="D94"/>
  <c r="D96"/>
  <c r="E10"/>
  <c r="T10"/>
  <c r="K53"/>
  <c r="L51"/>
  <c r="K51"/>
  <c r="K50"/>
  <c r="D55"/>
  <c r="U68"/>
  <c r="T68"/>
  <c r="D68"/>
  <c r="U78"/>
  <c r="T78"/>
  <c r="D78"/>
  <c r="H50"/>
  <c r="D10"/>
  <c r="E50"/>
  <c r="T53"/>
  <c r="U51"/>
  <c r="L50"/>
  <c r="D53"/>
  <c r="F50"/>
  <c r="Y32" i="8"/>
  <c r="Y17"/>
  <c r="Y10"/>
  <c r="W17"/>
  <c r="V17"/>
  <c r="U17"/>
  <c r="T32"/>
  <c r="V96"/>
  <c r="Y96"/>
  <c r="U96"/>
  <c r="T51" i="11"/>
  <c r="U50"/>
  <c r="J114" i="8"/>
  <c r="H114"/>
  <c r="H112"/>
  <c r="H55"/>
  <c r="D51" i="11"/>
  <c r="T50"/>
  <c r="D50"/>
  <c r="K139" i="8"/>
  <c r="D95" i="10"/>
  <c r="D94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J55"/>
  <c r="J53"/>
  <c r="I55"/>
  <c r="I53"/>
  <c r="H55"/>
  <c r="H53"/>
  <c r="G55"/>
  <c r="G53"/>
  <c r="F55"/>
  <c r="F53"/>
  <c r="E55"/>
  <c r="E53"/>
  <c r="D51"/>
  <c r="D49"/>
  <c r="D47"/>
  <c r="D46"/>
  <c r="D45"/>
  <c r="D44"/>
  <c r="J42"/>
  <c r="I42"/>
  <c r="H42"/>
  <c r="G42"/>
  <c r="F42"/>
  <c r="E42"/>
  <c r="D41"/>
  <c r="J39"/>
  <c r="I39"/>
  <c r="H39"/>
  <c r="G39"/>
  <c r="F39"/>
  <c r="E39"/>
  <c r="D36"/>
  <c r="D35"/>
  <c r="D34"/>
  <c r="D33"/>
  <c r="D32"/>
  <c r="D31"/>
  <c r="J29"/>
  <c r="J27"/>
  <c r="I29"/>
  <c r="I27"/>
  <c r="H29"/>
  <c r="H27"/>
  <c r="G29"/>
  <c r="G27"/>
  <c r="F29"/>
  <c r="F27"/>
  <c r="E29"/>
  <c r="D26"/>
  <c r="D25"/>
  <c r="D24"/>
  <c r="D23"/>
  <c r="D22"/>
  <c r="D21"/>
  <c r="D20"/>
  <c r="D19"/>
  <c r="D18"/>
  <c r="D17"/>
  <c r="D16"/>
  <c r="J14"/>
  <c r="J12"/>
  <c r="I14"/>
  <c r="I12"/>
  <c r="H14"/>
  <c r="H12"/>
  <c r="G14"/>
  <c r="G12"/>
  <c r="F14"/>
  <c r="F12"/>
  <c r="E14"/>
  <c r="F10" i="8"/>
  <c r="G10"/>
  <c r="D39" i="10"/>
  <c r="G37"/>
  <c r="I37"/>
  <c r="F37"/>
  <c r="H37"/>
  <c r="J37"/>
  <c r="I10"/>
  <c r="I9"/>
  <c r="F10"/>
  <c r="F9"/>
  <c r="G10"/>
  <c r="G9"/>
  <c r="J10"/>
  <c r="J9"/>
  <c r="H10"/>
  <c r="H9"/>
  <c r="D42"/>
  <c r="D53"/>
  <c r="D55"/>
  <c r="D29"/>
  <c r="D14"/>
  <c r="E12"/>
  <c r="E27"/>
  <c r="D27"/>
  <c r="E37"/>
  <c r="D37"/>
  <c r="E10"/>
  <c r="E9"/>
  <c r="D12"/>
  <c r="D10"/>
  <c r="D9"/>
  <c r="K30" i="8"/>
  <c r="L10"/>
  <c r="I17"/>
  <c r="J17"/>
  <c r="H17"/>
  <c r="H10"/>
  <c r="H96"/>
  <c r="H83"/>
  <c r="J10"/>
  <c r="E19"/>
  <c r="D19"/>
  <c r="E17"/>
  <c r="I10"/>
  <c r="Z96"/>
  <c r="Z94"/>
  <c r="Y94"/>
  <c r="X96"/>
  <c r="X94"/>
  <c r="W96"/>
  <c r="W94"/>
  <c r="V94"/>
  <c r="U94"/>
  <c r="S96"/>
  <c r="S94"/>
  <c r="R96"/>
  <c r="R94"/>
  <c r="P96"/>
  <c r="P94"/>
  <c r="O96"/>
  <c r="O94"/>
  <c r="N96"/>
  <c r="N94"/>
  <c r="M96"/>
  <c r="M94"/>
  <c r="L96"/>
  <c r="L94"/>
  <c r="G96"/>
  <c r="G94"/>
  <c r="I96"/>
  <c r="I94"/>
  <c r="J96"/>
  <c r="J94"/>
  <c r="F96"/>
  <c r="F94"/>
  <c r="Z83"/>
  <c r="Y83"/>
  <c r="X83"/>
  <c r="W83"/>
  <c r="V83"/>
  <c r="U83"/>
  <c r="S83"/>
  <c r="R83"/>
  <c r="P83"/>
  <c r="O83"/>
  <c r="N83"/>
  <c r="M83"/>
  <c r="L83"/>
  <c r="G83"/>
  <c r="I83"/>
  <c r="J83"/>
  <c r="F83"/>
  <c r="Z80"/>
  <c r="Z78"/>
  <c r="Y80"/>
  <c r="Y78"/>
  <c r="X80"/>
  <c r="X78"/>
  <c r="W80"/>
  <c r="W78"/>
  <c r="V80"/>
  <c r="V78"/>
  <c r="U80"/>
  <c r="S80"/>
  <c r="S78"/>
  <c r="R80"/>
  <c r="R78"/>
  <c r="P80"/>
  <c r="P78"/>
  <c r="O80"/>
  <c r="O78"/>
  <c r="N80"/>
  <c r="N78"/>
  <c r="M80"/>
  <c r="L80"/>
  <c r="L78"/>
  <c r="G80"/>
  <c r="G78"/>
  <c r="H80"/>
  <c r="H78"/>
  <c r="I80"/>
  <c r="J80"/>
  <c r="F80"/>
  <c r="Z70"/>
  <c r="Z68"/>
  <c r="Y70"/>
  <c r="X70"/>
  <c r="X68"/>
  <c r="W70"/>
  <c r="W68"/>
  <c r="V70"/>
  <c r="V68"/>
  <c r="U70"/>
  <c r="S70"/>
  <c r="S68"/>
  <c r="R70"/>
  <c r="P70"/>
  <c r="O70"/>
  <c r="N70"/>
  <c r="N68"/>
  <c r="M70"/>
  <c r="M68"/>
  <c r="L70"/>
  <c r="G70"/>
  <c r="G68"/>
  <c r="H70"/>
  <c r="H68"/>
  <c r="I70"/>
  <c r="I68"/>
  <c r="J70"/>
  <c r="J68"/>
  <c r="F70"/>
  <c r="F68"/>
  <c r="Y68"/>
  <c r="U68"/>
  <c r="R68"/>
  <c r="P68"/>
  <c r="O68"/>
  <c r="L68"/>
  <c r="Z55"/>
  <c r="Z53"/>
  <c r="Z51"/>
  <c r="Z50"/>
  <c r="Y55"/>
  <c r="Y53"/>
  <c r="X55"/>
  <c r="X53"/>
  <c r="X51"/>
  <c r="W55"/>
  <c r="W53"/>
  <c r="V55"/>
  <c r="V53"/>
  <c r="U55"/>
  <c r="S55"/>
  <c r="S53"/>
  <c r="R55"/>
  <c r="R53"/>
  <c r="P55"/>
  <c r="P53"/>
  <c r="O55"/>
  <c r="O53"/>
  <c r="O51"/>
  <c r="N55"/>
  <c r="N53"/>
  <c r="M55"/>
  <c r="M53"/>
  <c r="L55"/>
  <c r="L53"/>
  <c r="G55"/>
  <c r="G53"/>
  <c r="G51"/>
  <c r="G50"/>
  <c r="I55"/>
  <c r="I53"/>
  <c r="J55"/>
  <c r="J53"/>
  <c r="F55"/>
  <c r="F53"/>
  <c r="V10"/>
  <c r="U10"/>
  <c r="W10"/>
  <c r="X10"/>
  <c r="R10"/>
  <c r="M10"/>
  <c r="N10"/>
  <c r="O10"/>
  <c r="P10"/>
  <c r="T144"/>
  <c r="T143"/>
  <c r="T142"/>
  <c r="T141"/>
  <c r="T139"/>
  <c r="T138"/>
  <c r="T137"/>
  <c r="T135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2"/>
  <c r="T90"/>
  <c r="D90"/>
  <c r="T88"/>
  <c r="T87"/>
  <c r="T86"/>
  <c r="T85"/>
  <c r="T82"/>
  <c r="T77"/>
  <c r="T76"/>
  <c r="T75"/>
  <c r="T74"/>
  <c r="T73"/>
  <c r="T72"/>
  <c r="T70"/>
  <c r="T67"/>
  <c r="T66"/>
  <c r="T65"/>
  <c r="T64"/>
  <c r="T63"/>
  <c r="T62"/>
  <c r="T61"/>
  <c r="T60"/>
  <c r="T59"/>
  <c r="T58"/>
  <c r="T57"/>
  <c r="T49"/>
  <c r="T47"/>
  <c r="D47"/>
  <c r="T46"/>
  <c r="T45"/>
  <c r="D45"/>
  <c r="T44"/>
  <c r="D44"/>
  <c r="T43"/>
  <c r="T41"/>
  <c r="D41"/>
  <c r="T39"/>
  <c r="T35"/>
  <c r="T34"/>
  <c r="D34"/>
  <c r="T28"/>
  <c r="T26"/>
  <c r="D26"/>
  <c r="T24"/>
  <c r="D24"/>
  <c r="T23"/>
  <c r="D23"/>
  <c r="T22"/>
  <c r="T21"/>
  <c r="D21"/>
  <c r="T20"/>
  <c r="D20"/>
  <c r="T15"/>
  <c r="D15"/>
  <c r="T14"/>
  <c r="D14"/>
  <c r="T12"/>
  <c r="D12"/>
  <c r="K144"/>
  <c r="K143"/>
  <c r="K142"/>
  <c r="K141"/>
  <c r="K138"/>
  <c r="K137"/>
  <c r="K135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6"/>
  <c r="K92"/>
  <c r="K88"/>
  <c r="K87"/>
  <c r="K86"/>
  <c r="K85"/>
  <c r="K82"/>
  <c r="K77"/>
  <c r="K76"/>
  <c r="K75"/>
  <c r="K74"/>
  <c r="K73"/>
  <c r="K72"/>
  <c r="K70"/>
  <c r="K67"/>
  <c r="K66"/>
  <c r="K65"/>
  <c r="K64"/>
  <c r="K63"/>
  <c r="K62"/>
  <c r="K61"/>
  <c r="K60"/>
  <c r="K59"/>
  <c r="K58"/>
  <c r="K57"/>
  <c r="K55"/>
  <c r="D30"/>
  <c r="D28"/>
  <c r="D32"/>
  <c r="D43"/>
  <c r="D95"/>
  <c r="D49"/>
  <c r="D46"/>
  <c r="D39"/>
  <c r="D38"/>
  <c r="D37"/>
  <c r="D36"/>
  <c r="D35"/>
  <c r="D22"/>
  <c r="E144"/>
  <c r="E143"/>
  <c r="E142"/>
  <c r="E141"/>
  <c r="E139"/>
  <c r="D139"/>
  <c r="E138"/>
  <c r="E137"/>
  <c r="E135"/>
  <c r="E133"/>
  <c r="D133"/>
  <c r="E132"/>
  <c r="E131"/>
  <c r="E130"/>
  <c r="E129"/>
  <c r="E128"/>
  <c r="E127"/>
  <c r="E126"/>
  <c r="E125"/>
  <c r="E124"/>
  <c r="E123"/>
  <c r="D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2"/>
  <c r="E88"/>
  <c r="E87"/>
  <c r="D87"/>
  <c r="E86"/>
  <c r="E85"/>
  <c r="D85"/>
  <c r="E82"/>
  <c r="E77"/>
  <c r="D77"/>
  <c r="E76"/>
  <c r="E75"/>
  <c r="D75"/>
  <c r="E74"/>
  <c r="E73"/>
  <c r="D73"/>
  <c r="E72"/>
  <c r="E70"/>
  <c r="D70"/>
  <c r="E67"/>
  <c r="E66"/>
  <c r="D66"/>
  <c r="E65"/>
  <c r="E64"/>
  <c r="D64"/>
  <c r="E63"/>
  <c r="E62"/>
  <c r="D62"/>
  <c r="E61"/>
  <c r="E60"/>
  <c r="D60"/>
  <c r="E59"/>
  <c r="E58"/>
  <c r="E57"/>
  <c r="D137"/>
  <c r="D125"/>
  <c r="D129"/>
  <c r="D131"/>
  <c r="D121"/>
  <c r="D61"/>
  <c r="D63"/>
  <c r="D65"/>
  <c r="D67"/>
  <c r="D72"/>
  <c r="D74"/>
  <c r="D76"/>
  <c r="D82"/>
  <c r="O50"/>
  <c r="J78"/>
  <c r="J51"/>
  <c r="J50"/>
  <c r="T80"/>
  <c r="E83"/>
  <c r="T83"/>
  <c r="K94"/>
  <c r="D58"/>
  <c r="E80"/>
  <c r="D86"/>
  <c r="D88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5"/>
  <c r="D138"/>
  <c r="K80"/>
  <c r="X50"/>
  <c r="N51"/>
  <c r="N50"/>
  <c r="P51"/>
  <c r="P50"/>
  <c r="R51"/>
  <c r="R50"/>
  <c r="T55"/>
  <c r="W51"/>
  <c r="W50"/>
  <c r="Y51"/>
  <c r="Y50"/>
  <c r="F78"/>
  <c r="F51"/>
  <c r="F50"/>
  <c r="I78"/>
  <c r="E10"/>
  <c r="D141"/>
  <c r="K53"/>
  <c r="L51"/>
  <c r="L50"/>
  <c r="E55"/>
  <c r="S51"/>
  <c r="S50"/>
  <c r="U78"/>
  <c r="T78"/>
  <c r="E68"/>
  <c r="K68"/>
  <c r="K83"/>
  <c r="D83"/>
  <c r="U53"/>
  <c r="T53"/>
  <c r="D144"/>
  <c r="D143"/>
  <c r="V51"/>
  <c r="V50"/>
  <c r="T94"/>
  <c r="T96"/>
  <c r="T17"/>
  <c r="D17"/>
  <c r="M78"/>
  <c r="K10"/>
  <c r="E96"/>
  <c r="H94"/>
  <c r="E94"/>
  <c r="H53"/>
  <c r="T68"/>
  <c r="D57"/>
  <c r="D59"/>
  <c r="D92"/>
  <c r="D99"/>
  <c r="D101"/>
  <c r="D103"/>
  <c r="D105"/>
  <c r="D107"/>
  <c r="D109"/>
  <c r="D111"/>
  <c r="D113"/>
  <c r="D115"/>
  <c r="D117"/>
  <c r="D119"/>
  <c r="D127"/>
  <c r="D142"/>
  <c r="T10"/>
  <c r="D10"/>
  <c r="D68"/>
  <c r="E78"/>
  <c r="U51"/>
  <c r="U50"/>
  <c r="D55"/>
  <c r="I51"/>
  <c r="I50"/>
  <c r="D80"/>
  <c r="D94"/>
  <c r="D96"/>
  <c r="M51"/>
  <c r="M50"/>
  <c r="K78"/>
  <c r="D78"/>
  <c r="H51"/>
  <c r="E53"/>
  <c r="D53"/>
  <c r="H50"/>
  <c r="T51"/>
  <c r="T50"/>
  <c r="K51"/>
  <c r="K50"/>
  <c r="E51"/>
  <c r="E50"/>
  <c r="D50"/>
  <c r="D51"/>
</calcChain>
</file>

<file path=xl/sharedStrings.xml><?xml version="1.0" encoding="utf-8"?>
<sst xmlns="http://schemas.openxmlformats.org/spreadsheetml/2006/main" count="2814" uniqueCount="779">
  <si>
    <t xml:space="preserve">Суточные на Первенстве РС(Я) по пулевой стрельбе </t>
  </si>
  <si>
    <t xml:space="preserve">Суточные на Спартакиаде РС(Я) по пулевой стрельбе </t>
  </si>
  <si>
    <t xml:space="preserve">Суточные на Первенстве РС(Я) по легкой атлетике </t>
  </si>
  <si>
    <t xml:space="preserve">Суточные на Спартакиаде РС(Я) по легкой атлетике </t>
  </si>
  <si>
    <t xml:space="preserve">Суточные на Лично-командном первенстве по лыжным гонкам </t>
  </si>
  <si>
    <t>Суточные на Первенстве Амурской области по художественной гимнастике</t>
  </si>
  <si>
    <t>Суточные на Первенстве РС(Я) по мини-футболуной гимнастике</t>
  </si>
  <si>
    <t>Суточные на Первенстве РС(Я) по хоккею с шайбой</t>
  </si>
  <si>
    <t>нет таких</t>
  </si>
  <si>
    <t>Налог на имущество организации</t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</si>
  <si>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Субсидии на иные цели  (КВФО 5)</t>
    </r>
    <r>
      <rPr>
        <sz val="12"/>
        <color indexed="8"/>
        <rFont val="Times New Roman"/>
        <family val="1"/>
        <charset val="204"/>
      </rPr>
      <t>_________</t>
    </r>
  </si>
  <si>
    <t>№</t>
  </si>
  <si>
    <t>Пункт проведения отпуска</t>
  </si>
  <si>
    <t>стро-</t>
  </si>
  <si>
    <t>ФИО</t>
  </si>
  <si>
    <t>ки</t>
  </si>
  <si>
    <t>в год</t>
  </si>
  <si>
    <t>Батаева Н.А.</t>
  </si>
  <si>
    <t>Колмаков А.А.</t>
  </si>
  <si>
    <t>Моряков Ф.Н.</t>
  </si>
  <si>
    <t>Симачев В.Г.</t>
  </si>
  <si>
    <t>ИТОГО</t>
  </si>
  <si>
    <t>1.5. Расчеты (обоснования) возмещения персоналу расходов, связанных с проездом в отпуск   (статья 112-212-1101-2101)</t>
  </si>
  <si>
    <t>(статья 113-290-1150-2108)</t>
  </si>
  <si>
    <t xml:space="preserve">Питание обучающихся на Первенстве РС(Я) по баскетболу </t>
  </si>
  <si>
    <t>Количество обучающихся, чел.</t>
  </si>
  <si>
    <t>Проживание на Первенстве Амурской области по баскетболу</t>
  </si>
  <si>
    <t xml:space="preserve">Питание обучающихся на Первенстве Амурской области по баскетболу </t>
  </si>
  <si>
    <t>Питание обучающихся на Первенстве РС(Я) по волейболу</t>
  </si>
  <si>
    <t>Питание обучающихся на Первенстве РС(Я) по теннису</t>
  </si>
  <si>
    <t>Проживание на Спартакиаде школьников РС(Я) по теннису</t>
  </si>
  <si>
    <t>Питание обучающихся на Спартакиаде школьников РС(Я) по теннису</t>
  </si>
  <si>
    <t>Питание обучающихся на Первенстве РС(Я) по пулевой стрельбе</t>
  </si>
  <si>
    <t>Питание обучающихся на Спартакиаде РС(Я) по пулевой стрельбе</t>
  </si>
  <si>
    <t>Питание обучающихся на Спартакиаде РС(Я) по легкой атлетике</t>
  </si>
  <si>
    <t>Питание обучающихся на Первенстве РС(Я) по легкой атлетике</t>
  </si>
  <si>
    <t>Питание обучающихся на лично-командном Первенстве по лыжным гонкам</t>
  </si>
  <si>
    <t>Проезд в г.Благовещенск на Первенство Амурской области по художественной гимнастике</t>
  </si>
  <si>
    <t>Проживание в г.Благовещенске на Первенстве Амурской области по художественной гимнастике</t>
  </si>
  <si>
    <t>Питание обучающихся на Первенстве Амурской области по художественной гимнастике</t>
  </si>
  <si>
    <t xml:space="preserve">Питание обучающихся на первенстве РС(Я) по мини-футболу </t>
  </si>
  <si>
    <t>Питание обучающихся на первенстве по Хоккею с шайбой</t>
  </si>
  <si>
    <t>Кол-во членов семьи (иждивенцев)</t>
  </si>
  <si>
    <t>г.Анапа</t>
  </si>
  <si>
    <t>Гончарюк Н.М.</t>
  </si>
  <si>
    <t>Григоращук С.А.</t>
  </si>
  <si>
    <t>г. Москва</t>
  </si>
  <si>
    <t>г.Новосибирск</t>
  </si>
  <si>
    <t>Козырев А.Н.</t>
  </si>
  <si>
    <t>г.Феодосия</t>
  </si>
  <si>
    <t>Кривошеева Л.А.</t>
  </si>
  <si>
    <t>г.Улан-Уде</t>
  </si>
  <si>
    <t>г.Краснодар</t>
  </si>
  <si>
    <t>Корникова Л.А.</t>
  </si>
  <si>
    <t>г.Луче Горск</t>
  </si>
  <si>
    <t>Кузнецова В.В.</t>
  </si>
  <si>
    <t>г.Ейск</t>
  </si>
  <si>
    <t>Малышкин В.И.</t>
  </si>
  <si>
    <t>г.Красноярск</t>
  </si>
  <si>
    <t>г.Москва</t>
  </si>
  <si>
    <t>Савельева А.В.</t>
  </si>
  <si>
    <t>г.Нижний Новгород</t>
  </si>
  <si>
    <t>г.Сан-Петербург</t>
  </si>
  <si>
    <t>Чо-Дин-Чо Л.В.</t>
  </si>
  <si>
    <t>1.6. Расчеты (обоснования) выплат на возмещение (компенсация) расходов для участия в мероприятиях (соревнования, олимпиады и др.) физическим лицам, не являющимся работниками учреждения</t>
  </si>
  <si>
    <t>(статья 244 - 222 - 1125 - 2108)</t>
  </si>
  <si>
    <t>перев.обуч.и сопров.к месту пров.соревн. г.Якутск</t>
  </si>
  <si>
    <t>Перевозка обучающихся и сопровождающих  к месту проведения соревнований, в г.Якутск</t>
  </si>
  <si>
    <t>Перевозка обучающихся и сопровождающих  к месту проведения соревнований сс.Чурапча</t>
  </si>
  <si>
    <t>Перевозка обучающихся и сопровождающих  к месту проведения соревнований с. Намцы</t>
  </si>
  <si>
    <t>Перевозка сопровождающих  к месту проведения соревнований  г.Алдан</t>
  </si>
  <si>
    <t>взять в Лидере</t>
  </si>
  <si>
    <t>Окраска стен (статья 244-225-1105-2103)</t>
  </si>
  <si>
    <t>уточнить виды работ</t>
  </si>
  <si>
    <t>6.5.2. Расчет (обоснование) расходов на Противопожарные мероприятия (огнезащитная обработка имущества и зарядка огнетушителей) (статья 244 - 225 - 1106 - 2000 и статья 244 - 225 - 1106 - 2005)</t>
  </si>
  <si>
    <t>6.5.2. Расчет (обоснование) расходов на Содержание в чистоте помещений, зданий,дворов, иного имущества (статья 244 - 225 - 1111 - 2000)</t>
  </si>
  <si>
    <t>здание ДЮСШ "Лидер" г.Нерюнгри ул.Дружбы народов 12/1</t>
  </si>
  <si>
    <t>6.5.3. Расчет (обоснование)  прочих расходов по содержанию имуществаа (статья 244 - 225 - 1129 - 2000)</t>
  </si>
  <si>
    <t xml:space="preserve">Возмещение МБУК "ЦКиД им. А.С.Пушкина" (содержание помещения) Дог.139 от 22.12.16. </t>
  </si>
  <si>
    <t>Огнезащитная обработка пола спортивного зала</t>
  </si>
  <si>
    <t>спортивный зал, ДЮСШ "Лидер"</t>
  </si>
  <si>
    <t>Окраска стен (статья 244-225-1105-2002)</t>
  </si>
  <si>
    <t xml:space="preserve">Возмещение МБУК "ЦКиД им. А.С.Пушкина" (размещ.выв ТБО) Дог.139 от 22.12.16. </t>
  </si>
  <si>
    <t xml:space="preserve">Возмещение МБУК "ЦКиД им. А.С.Пушкина (переработка ТБО) Дог.139 от 22.12.16. </t>
  </si>
  <si>
    <t>не хватает денег на эксплуатационные услуги</t>
  </si>
  <si>
    <t>Дератизация, дезинсекция (договор №147 от 01.01.17. ФБУЗ "Центр гигиены и эпидемиологии в РС(Я))</t>
  </si>
  <si>
    <t xml:space="preserve">Возмещение МБУК "ЦКиД им. А.С.Пушкина" (техническое обслуживание пожарной сигнализации) Дог.139 от 22.12.16. </t>
  </si>
  <si>
    <t xml:space="preserve">Возмещение МБУК "ЦКиД им. А.С.Пушкина" (Техническое обслуживание приборов учета тепла  и ТО АИТП). Дог.139 от 22.12.16. </t>
  </si>
  <si>
    <t>здесь лишние деньги</t>
  </si>
  <si>
    <t>Техническое обслуживание пожарной сигнализации ООО "Спецмонтажавтоматика" (Дог.№ТО-17-090 от 17.12.16.</t>
  </si>
  <si>
    <t>КХО в здании СОШ №2 (ОПТС) г.Нерюнгри, ул.Аммосова 6 кор 3</t>
  </si>
  <si>
    <t>Техническое обслуживание средств сигнализации ФГУП "Охрана"</t>
  </si>
  <si>
    <t>6.6.1. Расчет (обоснование) расходов на оплату за проведение проектных и изыскательских работ в целях разработки проектно-сметной документации для строительства, реконструкции, технического перевооружения, ремонта, реставрации объектов, а также работ по ее экспертизе</t>
  </si>
  <si>
    <t>Составление сметы на окраску стен</t>
  </si>
  <si>
    <t>6.6.2. Расчет (обоснование) расходов на оплату за услуги вневедомственной и ведомственной (в том числе пожарной) охраны</t>
  </si>
  <si>
    <t>Охрана объекта ОВО по Нерюнгринскому району-филиал ФГКУ "УВО МВД по РС(Я)</t>
  </si>
  <si>
    <t>(статья 244 - 226 - 1132 - 2002)</t>
  </si>
  <si>
    <t>(статья 244 - 226 - 1134 - 2005)</t>
  </si>
  <si>
    <t>6.5.3. Расчет (обоснование)  прочих расходов по содержанию имуществаа (статья 244 - 225 - 1129 - 2005)</t>
  </si>
  <si>
    <t>(статья 244 - 226 - 1136 - 2000)</t>
  </si>
  <si>
    <t>Телематические услуги (интернет)  ООО "Апельсин" Дог. №48/ТУС от 01.01.17.</t>
  </si>
  <si>
    <t>Услуги связи Ростелеком, (дог. 714000004490 от 31.12.16.)</t>
  </si>
  <si>
    <t>Оплата за обновление антивирусных баз и програмное обеспечение</t>
  </si>
  <si>
    <t>(статья 244 - 226 - 1137 - 2000)</t>
  </si>
  <si>
    <t>Подписка на периодические печатные издания (УФПС РС(Я)-филиала ФГУП "Почта России")</t>
  </si>
  <si>
    <t>(статья 244 - 226 - 1139 - 2000)</t>
  </si>
  <si>
    <t>6.6.4. Расчет (обоснование) расходов на оплату за подписку на периодические и справочные издания</t>
  </si>
  <si>
    <t>6.6.3. Расчет (обоснование) расходов на  закупку товаров, работ, услуг в сфере информационно-коммуникационных технологий</t>
  </si>
  <si>
    <t>Курсы повышения квалификации</t>
  </si>
  <si>
    <t>(статья 244 - 226 - 1140 - 2002)</t>
  </si>
  <si>
    <t>Проверка сметы и строительный контроль</t>
  </si>
  <si>
    <t>Спецификация условий труда</t>
  </si>
  <si>
    <t>6.6.6. Расчет (обоснование) расходов на оплату за иные работы и услуги</t>
  </si>
  <si>
    <t>6.6.5. Расчет (обоснование) расходов на оплату за обучение на курсах повышения квалификации, подготовки и переподготовки специалистов</t>
  </si>
  <si>
    <t>6.6.7. Расчет (обоснование) расходов на оплату за иные работы и услуги</t>
  </si>
  <si>
    <t>(статья 244 - 226 - 1140 - 2000)</t>
  </si>
  <si>
    <t>Медосмотр работников учреждения</t>
  </si>
  <si>
    <t>Оплата за мячи</t>
  </si>
  <si>
    <t>Оплата за картридж</t>
  </si>
  <si>
    <t>Заправка картриджа</t>
  </si>
  <si>
    <t>6.3.1. Расчет (обоснование) расходов на оплату услуг отопления прочих постащиков  (статья 244-223-1107-2000)</t>
  </si>
  <si>
    <t>6.3.2. Расчет (обоснование) расходов на оплату услуг предоставления электроэнергии  (статья 244-223-1109-2000)</t>
  </si>
  <si>
    <t>6.3.3. Расчет (обоснование) расходов на оплату услуг горячего и холодного водоснабжения, подвоз воды  (статья 244-223-1110-2000)</t>
  </si>
  <si>
    <t>6.3.4. Расчет (обоснование) расходов на оплату услуг канализации,ассенизации, водоотведения  (статья 244-223-1126-2000)</t>
  </si>
  <si>
    <t xml:space="preserve">Оплата услуг отопления  1-е полуг 2017г </t>
  </si>
  <si>
    <t xml:space="preserve">Оплата услуг отопления  2-е полуг 2017г </t>
  </si>
  <si>
    <t xml:space="preserve">Оплата услуг предоставления электроэнергии 1-е полуг 2017г </t>
  </si>
  <si>
    <t xml:space="preserve">Оплата услуг предоставления электроэнергии 2-е полуг 2017г </t>
  </si>
  <si>
    <t xml:space="preserve">Оплата услуг горячего и холодного водоснабжения 1-е полуг 2017г </t>
  </si>
  <si>
    <t xml:space="preserve">Оплата услуг горячего и холодного водоснабженияводы 2-е полуг 2017г </t>
  </si>
  <si>
    <t xml:space="preserve">Оплата услуг канализации,ассенизации, водоотведения 1-е полуг 2017г </t>
  </si>
  <si>
    <t xml:space="preserve">Оплата услуг канализации,ассенизации, водоотведения 2 -е полуг 2017г 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</si>
  <si>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Уплата налога на имущество организаций и земельного налога                   (КВР 851)</t>
    </r>
    <r>
      <rPr>
        <sz val="12"/>
        <color indexed="8"/>
        <rFont val="Times New Roman"/>
        <family val="1"/>
        <charset val="204"/>
      </rPr>
      <t>__</t>
    </r>
  </si>
  <si>
    <t>на 2017 год</t>
  </si>
  <si>
    <t>Источник финансового обеспечения _Субсидии на иные цели  (КВФО 5)</t>
  </si>
  <si>
    <t>Источник финансового обеспечения __Субсидии на выполнение государственного (муниципального) задания__(КВФО 4)</t>
  </si>
  <si>
    <t>Источник финансового обеспечения: Субсидии на выполнение государственного (муниципального) задания (КВФО 4)</t>
  </si>
  <si>
    <t>(статья 851 - 290 - 1143 - 2102)</t>
  </si>
  <si>
    <t>6.5.1. Расчет (обоснование) расходов на Текущий ремонт нефинансовых активов (статья 244 - 225 - 1105 - 2002)</t>
  </si>
  <si>
    <t>3.1. Расчет (обоснование) расходов на уплату налогов на имущество и земельного налога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</si>
  <si>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Уплата иных платежей                   (КВР 853)</t>
    </r>
    <r>
      <rPr>
        <sz val="12"/>
        <color indexed="8"/>
        <rFont val="Times New Roman"/>
        <family val="1"/>
        <charset val="204"/>
      </rPr>
      <t>__</t>
    </r>
  </si>
  <si>
    <t>3.2. Расчет (обоснование) расходов на уплату  иных платежей</t>
  </si>
  <si>
    <t>Основание</t>
  </si>
  <si>
    <t>Предписание  КСП б/н от 26.01.17г.</t>
  </si>
  <si>
    <t>Сумма платежа, руб.</t>
  </si>
  <si>
    <t>Денежн.взыскания,налагаемые в возмещение ущерба (возврат в бюджет субсидии на выполнение муниципального задания неправомерно использованную по нецелевому назначению)</t>
  </si>
  <si>
    <t>изменения 06.02.17.</t>
  </si>
  <si>
    <t>6.5.1. Расчет (обоснование) расходов на Текущий ремонт нефинансовых активов (статья 244 - 225 - 1105 - 2103 и статья 244 - 225 - 1105 - 2002) с изменениями от 06.02.17.</t>
  </si>
  <si>
    <t>(статья 853 - 290 - 1144 - 2002)  с изменениями  от 06.02.17.</t>
  </si>
  <si>
    <t>Исполнитель эконмист  _______________Панаева И.А.</t>
  </si>
  <si>
    <t>изменения 17.02.17.</t>
  </si>
  <si>
    <t xml:space="preserve">    * Уменьшение бюджетных ассигонований по ст. 244 - 225 - 1105 - 2103 на 306 300 руб., согласно Приказа УО № 01-22/1 от 09.01.17. "О перераспределении целевой субсидии".</t>
  </si>
  <si>
    <r>
      <t>Источник финансового обеспечения __</t>
    </r>
    <r>
      <rPr>
        <u/>
        <sz val="12"/>
        <color indexed="8"/>
        <rFont val="Times New Roman"/>
        <family val="1"/>
        <charset val="204"/>
      </rPr>
      <t>Субсидии на выполнение государственного (муниципального) задания</t>
    </r>
    <r>
      <rPr>
        <sz val="12"/>
        <color indexed="8"/>
        <rFont val="Times New Roman"/>
        <family val="1"/>
        <charset val="204"/>
      </rPr>
      <t>__(КВФО 4)</t>
    </r>
  </si>
  <si>
    <t>Доходы за нарушение условий договоров (ФЗ - 44,223) (Доп КР 0716)</t>
  </si>
  <si>
    <t>с изменениями от 15.03.17.</t>
  </si>
  <si>
    <t>(статья 244 - 340 - 1123 - 0708)</t>
  </si>
  <si>
    <t>(статья 244 - 340 - 1123 - 2002)</t>
  </si>
  <si>
    <t>ППКОП 011-8-1-03К Приток А-4(8)</t>
  </si>
  <si>
    <t>Считыватель-2 исп.00 Считыватель ключей ТМ (хром)</t>
  </si>
  <si>
    <t>Астра-Р Радиосистема тревожной сигнализации</t>
  </si>
  <si>
    <t>Средняя стоимость,  с учетом НДСруб.</t>
  </si>
  <si>
    <t>Предписание  КСП</t>
  </si>
  <si>
    <t>(статья 853 - 290 - 1144 - 0716)  с изменениями  от 15.03.17.</t>
  </si>
  <si>
    <t>(статья 321 - 263 - 1142 - 2101)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</si>
  <si>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социальные выплаты гражданам, кроме публичных нормативных социальных выплат (КВР 320)</t>
    </r>
    <r>
      <rPr>
        <sz val="12"/>
        <color indexed="8"/>
        <rFont val="Times New Roman"/>
        <family val="1"/>
        <charset val="204"/>
      </rPr>
      <t>_</t>
    </r>
  </si>
  <si>
    <t>Компенсация физическому лицу при переезде из районов Крайнего Севера после увольнения</t>
  </si>
  <si>
    <r>
      <t>Код видов расходов _</t>
    </r>
    <r>
      <rPr>
        <u/>
        <sz val="12"/>
        <color indexed="8"/>
        <rFont val="Times New Roman"/>
        <family val="1"/>
        <charset val="204"/>
      </rPr>
      <t>Уплата прочих налогов, сборов и иных обязательных платежей                   (КВР 852)</t>
    </r>
    <r>
      <rPr>
        <sz val="12"/>
        <color indexed="8"/>
        <rFont val="Times New Roman"/>
        <family val="1"/>
        <charset val="204"/>
      </rPr>
      <t>__</t>
    </r>
  </si>
  <si>
    <t>(статья 852 - 290 - 1143 - 2000)</t>
  </si>
  <si>
    <t>Сумма , руб.</t>
  </si>
  <si>
    <t>Государственная пошлина за государственную регистрацию изменений  учредительных документов юридического лица ДЮСШ "Лидер"</t>
  </si>
  <si>
    <t>Бумага офисная</t>
  </si>
  <si>
    <t>Источник финансового обеспечения __Субсидии на выполнение государственного (муниципального) задания(КВФО 4)</t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</si>
  <si>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_Субсидии на выполнение государственного (муниципального) задания(КВФО 4)</t>
    </r>
  </si>
  <si>
    <t>на плановый период 2018-2019 год</t>
  </si>
  <si>
    <t>Фонд оплаты труда в год, руб. (гр. 3 x гр. 4 x (1 + гр. 8 / 100) + гр. 9 x 12)                         2018 год</t>
  </si>
  <si>
    <t>Фонд оплаты труда в год, руб. (гр. 3 x гр. 4 x (1 + гр. 8 / 100) + гр. 9 x 12)                              2019 год</t>
  </si>
  <si>
    <t>Сумма, руб. (гр. 3 x гр. 4 x гр. 5), 2018 год</t>
  </si>
  <si>
    <t>Сумма, руб. (гр. 3 x гр. 4 x гр. 5), 2019 год</t>
  </si>
  <si>
    <t>Сумма взноса, руб., 2018 год</t>
  </si>
  <si>
    <t>Сумма взноса, руб., 2019 год</t>
  </si>
  <si>
    <t>Количество работников</t>
  </si>
  <si>
    <t>в 2019  год</t>
  </si>
  <si>
    <t>в 2018  год</t>
  </si>
  <si>
    <t>Сумма исчисленного налога, подлежащего уплате, руб. (гр. 3 x гр. 4 / 100), 2018 год</t>
  </si>
  <si>
    <t>Сумма исчисленного налога, подлежащего уплате, руб. (гр. 3 x гр. 4 / 100), 2019 год</t>
  </si>
  <si>
    <t>Сумма, руб. (гр. 3 x гр. 4), 2018 год</t>
  </si>
  <si>
    <t>Сумма, руб. (гр. 3 x гр. 4), 2019 год</t>
  </si>
  <si>
    <t>Сумма, руб. гр. 4 x гр. 5 x гр. 6), 2018 год</t>
  </si>
  <si>
    <t>Сумма, руб. гр. 4 x гр. 5 x гр. 6), 2019 год</t>
  </si>
  <si>
    <t>Сумма, руб. гр. 4 x гр. 5 x гр. 6), 2018</t>
  </si>
  <si>
    <t>Сумма, руб. гр. 4 x гр. 5 x гр. 6), 2019</t>
  </si>
  <si>
    <t>Стоимость работ (услуг), руб., 2018 год</t>
  </si>
  <si>
    <t>Стоимость работ (услуг), руб., 2019 год</t>
  </si>
  <si>
    <t>Стоимость услуги, руб., 2018 год</t>
  </si>
  <si>
    <t>Стоимость услуги, руб., 2019 год</t>
  </si>
  <si>
    <t>Сумма, руб. (гр. 2 x гр. 3), 2018 год</t>
  </si>
  <si>
    <t>Сумма, руб. (гр. 2 x гр. 3), 2019 год</t>
  </si>
  <si>
    <r>
      <t>Код видов расходов __</t>
    </r>
    <r>
      <rPr>
        <u/>
        <sz val="12"/>
        <color indexed="8"/>
        <rFont val="Times New Roman"/>
        <family val="1"/>
        <charset val="204"/>
      </rPr>
      <t>Иные закупки товаров, работ и услуг для государственных нужд</t>
    </r>
    <r>
      <rPr>
        <sz val="12"/>
        <color indexed="8"/>
        <rFont val="Times New Roman"/>
        <family val="1"/>
        <charset val="204"/>
      </rPr>
      <t>__</t>
    </r>
    <r>
      <rPr>
        <u/>
        <sz val="12"/>
        <color indexed="8"/>
        <rFont val="Times New Roman"/>
        <family val="1"/>
        <charset val="204"/>
      </rPr>
      <t>(КВР 240)</t>
    </r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</si>
  <si>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_Субсидии на выполнение государственного (муниципального) задания__(КВФО 4)</t>
    </r>
  </si>
  <si>
    <t>(статья 244 - 340 - 1123 - 0716)</t>
  </si>
  <si>
    <t>(статья 244 - 340 - 1123 - 2000)</t>
  </si>
  <si>
    <t>Огнетушитель</t>
  </si>
  <si>
    <t>(статья 244 - 340 - 1123 - 0713)</t>
  </si>
  <si>
    <t>на 2017 г.</t>
  </si>
  <si>
    <t>Ремонт принтера</t>
  </si>
  <si>
    <t>Журналы</t>
  </si>
  <si>
    <t>Чистящие средства</t>
  </si>
  <si>
    <t>Моющие средства</t>
  </si>
  <si>
    <t>Перчатки резиновые</t>
  </si>
  <si>
    <t>(статья 244 - 310 - 1116 - 2000)</t>
  </si>
  <si>
    <t>Системный блок</t>
  </si>
  <si>
    <r>
      <t>Код видов расходов __</t>
    </r>
    <r>
      <rPr>
        <u/>
        <sz val="12"/>
        <color indexed="8"/>
        <rFont val="Times New Roman"/>
        <family val="1"/>
        <charset val="204"/>
      </rPr>
      <t>Иные закупки товаров, работ и услуг для государственных нужд</t>
    </r>
    <r>
      <rPr>
        <sz val="12"/>
        <color indexed="8"/>
        <rFont val="Times New Roman"/>
        <family val="1"/>
        <charset val="204"/>
      </rPr>
      <t>__</t>
    </r>
    <r>
      <rPr>
        <u/>
        <sz val="12"/>
        <color indexed="8"/>
        <rFont val="Times New Roman"/>
        <family val="1"/>
        <charset val="204"/>
      </rPr>
      <t>(КВР 240)</t>
    </r>
    <r>
      <rPr>
        <sz val="12"/>
        <color indexed="8"/>
        <rFont val="Times New Roman"/>
        <family val="1"/>
        <charset val="204"/>
      </rPr>
      <t>__</t>
    </r>
  </si>
  <si>
    <t xml:space="preserve">« 30 »  ноября    2017 г. </t>
  </si>
  <si>
    <t>30.11.2017г.</t>
  </si>
  <si>
    <t xml:space="preserve">                     на "30" ноября 2017 г.</t>
  </si>
  <si>
    <t>на "30"   ноября  2017г.</t>
  </si>
  <si>
    <t>6.5.2. Расчет (обоснование) расходов на Содержание в чистоте помещений, зданий,дворов, иного имущества (статья 244 - 225 - 1111 - 2000 и статья 244 - 225 - 1111 - 2002)</t>
  </si>
  <si>
    <t>Доп КР 2000 Субсидии муниципальным учреждениям на финансовое обеспечение муниципального задания на оказание муниципальных услуг (выполнение работ)</t>
  </si>
  <si>
    <t>Доп КР 2002 Остатки субсидии прошлых лет на финансовое обеспечение муниципального задания</t>
  </si>
  <si>
    <t>Вего:</t>
  </si>
  <si>
    <t>(статья 244 - 226 - 1134 )</t>
  </si>
  <si>
    <t>Мячи</t>
  </si>
  <si>
    <t>24.11.2017г.</t>
  </si>
  <si>
    <t>Наименование показателя</t>
  </si>
  <si>
    <t>I. Нефинансовые активы, всего:</t>
  </si>
  <si>
    <t>из них:</t>
  </si>
  <si>
    <t>1.1. общая балансовая стоимость недвижимого имущества учреждения (подразделения), всего:</t>
  </si>
  <si>
    <t>в том числе:</t>
  </si>
  <si>
    <t>1.1.1. стоимость имущества, закрепленного собственником имущества за учреждением на праве оперативного управления</t>
  </si>
  <si>
    <t>1.1.2. стоимость имущества, приобретенного учреждением (подразделением) за счет выделенных собственником имущества учреждения средств</t>
  </si>
  <si>
    <t>1.1.3. стоимость имущества, приобретенного учреждением (подразделением) за счет доходов, полученных от приносящей доход деятельности</t>
  </si>
  <si>
    <t>1.1.4. остаточная стоимость недвижимого муниципального имущества учреждения</t>
  </si>
  <si>
    <t>1.2. общая балансовая стоимость движимого муниципального имущества учреждения, всего:</t>
  </si>
  <si>
    <t>1.2.1. общая балансовая стоимость особо ценного движимого имущества учреждения</t>
  </si>
  <si>
    <t>1.2.2. остаточная стоимость особо ценного движимого муниципального имущества учреждения</t>
  </si>
  <si>
    <t>II. Финансовые активы, всего</t>
  </si>
  <si>
    <t>2.1. денежные средства учреждения, всего</t>
  </si>
  <si>
    <t>2.1.1. денежные средства учреждения на лицевых счетах по учету собственных доходов учреждения</t>
  </si>
  <si>
    <t xml:space="preserve">2.1.2.  денежные средства учреждения на лицевых счетах по учету субсидий на выполнение муниципального задания </t>
  </si>
  <si>
    <t xml:space="preserve">2.1.3.  денежные средства учреждения на лицевых счетах по учету субсидий на иные цели </t>
  </si>
  <si>
    <t xml:space="preserve">2.2. дебиторская задолженность по доходам, всего </t>
  </si>
  <si>
    <t>2.2.1.  дебиторская задолженность по доходам от оказания платных услуг и иной приносящей доход деятельности</t>
  </si>
  <si>
    <t>2.3. дебиторская задолженности по расходам, всего</t>
  </si>
  <si>
    <t>2.3.1. дебиторская задолженность по выданным авансам за счет доходов, полученных от оказания платных услуг и иной приносящей доход деятельности, всего</t>
  </si>
  <si>
    <t>2.3.1.1. по выданным авансам на услуги по содержанию имущества (капитальный ремонт зданий и помещений) (225)</t>
  </si>
  <si>
    <t>2.3.1.2. по выданным авансам на услуги по содержанию имущества (текущий ремонт зданий и помещений) (225)</t>
  </si>
  <si>
    <t>2.3.1.3. по выданным авансам на приобретение основных средств (310)</t>
  </si>
  <si>
    <t>2.3.1.4. по выданным авансам на приобретение материальных запасов (340)</t>
  </si>
  <si>
    <t>2.3.2. дебиторская задолженность по выданным авансам за счет субсидий на выполнение муниципального задания, всего</t>
  </si>
  <si>
    <t>2.3.2.1. по выданным авансам на прочие выплаты персоналу (212)</t>
  </si>
  <si>
    <t>2.3.2.2. по выданным авансам по оплате коммунальных услуг (223)</t>
  </si>
  <si>
    <t>2.3.2.3. по выданным авансам на услуги по содержанию имущества (капитальный ремонт зданий и помещений) (225)</t>
  </si>
  <si>
    <t>2.3.2.4. по выданным авансам на услуги по содержанию имущества (текущий ремонт зданий и помещений) (225)</t>
  </si>
  <si>
    <t>2.3.2.5. по выданным авансам на приобретение основных средств (310)</t>
  </si>
  <si>
    <t>2.3.2.6. по выданным авансам на приобретение материальных запасов (340)</t>
  </si>
  <si>
    <t>2.3.3. дебиторская задолженность по выданным авансам за счет субсидий  на иные цели - всего</t>
  </si>
  <si>
    <t>2.3.3.1.  по выданным авансам на прочие выплаты персоналу (212)</t>
  </si>
  <si>
    <t>2.3.3.2. по выданным авансам на услуги по содержанию имущества (капитальный ремонт зданий и помещений) (225)</t>
  </si>
  <si>
    <t>2.3.3.3. по выданным авансам на услуги по содержанию имущества (текущий ремонт зданий и помещений) (225)</t>
  </si>
  <si>
    <t>2.3.3.4. по выданным авансам на приобретение основных средств (310)</t>
  </si>
  <si>
    <t>2.3.3.5. по выданным авансам на прочие расходы (уплата налогов и сборов) (290)</t>
  </si>
  <si>
    <t>III. Обязательства, всего</t>
  </si>
  <si>
    <t>3.1. просроченная кредиторская задолженность, всего</t>
  </si>
  <si>
    <t>3.1.1. за счет доходов, полученных от оказания платных услуг и иной приносящей доход деятельности, всего</t>
  </si>
  <si>
    <t>3.1.1.1. по оплате труда (211)</t>
  </si>
  <si>
    <t>3.1.1.2. по начислениям на оплату труда (213)</t>
  </si>
  <si>
    <t>3.1.1.3. по прочим выплатам персоналу (212)</t>
  </si>
  <si>
    <t>3.1.1.4.  по оплате коммунальных услуг (223)</t>
  </si>
  <si>
    <t>3.1.1.5.  по оплате услуг по содержанию имущества (225)</t>
  </si>
  <si>
    <t>3.1.1.6. по оплате прочих услуг (226)</t>
  </si>
  <si>
    <t>3.1.1.7. по приобретению основных средств (310)</t>
  </si>
  <si>
    <t>3.1.1.8.  по приобретению материальных запасов (340)</t>
  </si>
  <si>
    <t>3.1.2.  за счет субсидий на выполнение муниципального задания, всего</t>
  </si>
  <si>
    <t>3.1.2.1. по оплате труда (211)</t>
  </si>
  <si>
    <t>3.1.2.2. по начислениям на оплату труда (213)</t>
  </si>
  <si>
    <t>3.1.2.3. по прочим выплатам персоналу (212)</t>
  </si>
  <si>
    <t>3.1.2.4.  по оплате коммунальных услуг (223)</t>
  </si>
  <si>
    <t>3.1.2.5.  по оплате услуг по содержанию имущества (225)</t>
  </si>
  <si>
    <t>3.1.2.6. по оплате прочих услуг (226)</t>
  </si>
  <si>
    <t>3.1.2.7. по приобретению основных средств (310)</t>
  </si>
  <si>
    <t>3.1.2.8.  по приобретению материальных запасов (340)</t>
  </si>
  <si>
    <t>3.1.3. за счет средств субсидии на иные цели, всего</t>
  </si>
  <si>
    <t>3.1.3.1. по оплате труда (211)</t>
  </si>
  <si>
    <t>3.1.3.2. по начислениям на оплату труда (213)</t>
  </si>
  <si>
    <t>3.1.3.3. по прочим выплатам персоналу (212)</t>
  </si>
  <si>
    <t>3.1.3.4.  по оплате коммунальных услуг (223)</t>
  </si>
  <si>
    <t>3.1.3.5.  по оплате услуг по содержанию имущества (225)</t>
  </si>
  <si>
    <t>3.1.3.6. по оплате прочих услуг (226)</t>
  </si>
  <si>
    <t>3.1.3.7. по приобретению основных средств (310)</t>
  </si>
  <si>
    <t>3.1.3.8.  по приобретению материальных запасов (340)</t>
  </si>
  <si>
    <t>3.2. кредиторская задолженность по расчетам с поставщиками и подрядчиками за счет доходов, полученных от оказания платных услуг (выполнения работ) и иной приносящей доход деятельности, - всего</t>
  </si>
  <si>
    <t>3.2.1. по оплате коммунальных услуг (223)</t>
  </si>
  <si>
    <t>3.2.2. по оплате услуг по содержанию имущества (225)</t>
  </si>
  <si>
    <t>3.2.3. по приобретению основных средств (310)</t>
  </si>
  <si>
    <t>3.2.4. по приобретению материальных запасов (340)</t>
  </si>
  <si>
    <t>3.3. кредиторская задолженность по расчетам с поставщиками и подрядчиками за счет субсидий на выполнение муниципального задания - всего</t>
  </si>
  <si>
    <t>3.3.1. по оплате труда (211)</t>
  </si>
  <si>
    <t>3.3.2. по начислениям на выплаты по оплате труда (213)</t>
  </si>
  <si>
    <t>3.3.3. по прочим выплатам персоналу (212)</t>
  </si>
  <si>
    <t>3.3.4. по оплате коммунальных услуг (223)</t>
  </si>
  <si>
    <t>3.3.5. по оплате услуг по содержанию имущества (225) (капитальный ремонт зданий и помещений)</t>
  </si>
  <si>
    <t>3.3.6.по оплате услуг по содержанию имущества (225) (текущий ремонт зданий и помещений)</t>
  </si>
  <si>
    <t>3.3.7. по приобретению основных средств (310)</t>
  </si>
  <si>
    <t>3.3.8. по приобретению материальных запасов (340)</t>
  </si>
  <si>
    <t>3.4. кредиторская задолженность по расчетам с поставщиками и подрядчиками за счет субсидий на иные цели - всего</t>
  </si>
  <si>
    <t>3.4.1. по прочим выплатам персоналу (212)</t>
  </si>
  <si>
    <t>3.4.2. по оплате услуг по содержанию имущества (225) (капитальный ремонт зданий и помещений)</t>
  </si>
  <si>
    <t>3.4.3.по оплате услуг по содержанию имущества (225) (текущий ремонт зданий и помещений)</t>
  </si>
  <si>
    <t>3.4.4. по приобретению основных средств (310)</t>
  </si>
  <si>
    <t xml:space="preserve"> учреждения (подразделения)</t>
  </si>
  <si>
    <t>(на последнюю отчетную дату)</t>
  </si>
  <si>
    <t>II. Показатели финансового состояния муниципального</t>
  </si>
  <si>
    <t>Х</t>
  </si>
  <si>
    <t xml:space="preserve">в том числе:                           </t>
  </si>
  <si>
    <t xml:space="preserve"> доходы от собственности</t>
  </si>
  <si>
    <t xml:space="preserve">из них:  </t>
  </si>
  <si>
    <t xml:space="preserve">     от аренды активов</t>
  </si>
  <si>
    <t xml:space="preserve">     иные поступления от собственности</t>
  </si>
  <si>
    <t>доходы от оказания услуг, работ, всего</t>
  </si>
  <si>
    <t xml:space="preserve">субсидии муниципальным учреждениям на финансовое обеспечение муниципального задания на оказание муниципальных услуг (выполнение работ) </t>
  </si>
  <si>
    <t>родительские взносы</t>
  </si>
  <si>
    <t>платные услуги</t>
  </si>
  <si>
    <t xml:space="preserve">оплата сотрудниками за питание </t>
  </si>
  <si>
    <t>оплата арендодаторами коммунальных услуг</t>
  </si>
  <si>
    <t>доходы от рыночных продаж (книжный киоск)</t>
  </si>
  <si>
    <t>доходы от штрафов, пеней, иных сумм принудительного изъятия</t>
  </si>
  <si>
    <t>безвозмездные поступления от наднациональных организаций, правительств иностранных государств, международных финансовых организаций</t>
  </si>
  <si>
    <t>иные субсидии, предоставленные из бюджета</t>
  </si>
  <si>
    <t xml:space="preserve"> прочие доходы</t>
  </si>
  <si>
    <t>прочие (расшифровать)</t>
  </si>
  <si>
    <t>…..</t>
  </si>
  <si>
    <t>доходы от операций с активами, всего</t>
  </si>
  <si>
    <t>от операций с нефинансовыми активами, всего</t>
  </si>
  <si>
    <t xml:space="preserve">    от выбытий основных средств</t>
  </si>
  <si>
    <t xml:space="preserve">    от выбытий нематериальных активов</t>
  </si>
  <si>
    <t xml:space="preserve">    от выбытий непроизведенных активов</t>
  </si>
  <si>
    <t xml:space="preserve">    от выбытий материальных запасов</t>
  </si>
  <si>
    <t>от операций с финансовыми активами, всего</t>
  </si>
  <si>
    <t>(расшифровать)</t>
  </si>
  <si>
    <t>Выплаты по расходам, всего:</t>
  </si>
  <si>
    <t>X</t>
  </si>
  <si>
    <t xml:space="preserve">в том числе на: </t>
  </si>
  <si>
    <t>выплаты персоналу, всего</t>
  </si>
  <si>
    <t>заработная плата</t>
  </si>
  <si>
    <t>выезд из районов Крайнего Севера работников</t>
  </si>
  <si>
    <t>112.212.1124 </t>
  </si>
  <si>
    <t>обеспечение мер социальной поддержки педагогическим работникам, проживающим и работающим в сельских населенных пунктах, рабочих поселках (поселках городского типа)</t>
  </si>
  <si>
    <t>112.212.1103</t>
  </si>
  <si>
    <t>командировочные расходы (в части проезда и проживания)</t>
  </si>
  <si>
    <t>прочие компенсации</t>
  </si>
  <si>
    <t>112.212.1124</t>
  </si>
  <si>
    <t>суточные при служебных командировках</t>
  </si>
  <si>
    <t>транспортные услуги</t>
  </si>
  <si>
    <t>расходы на осуществление иных выплат и компенсаций (кроме командировочных расходов)  спортсменам, тренерам (трудовые договора), при направленнии их на соревнования, олимпиады и др.</t>
  </si>
  <si>
    <t>112.290.1150</t>
  </si>
  <si>
    <t>возмещение (компенсация) расходов для участия в мероприятиях (соревнования, олимпиады и др.) физическим лицам, не являющимся работниками учреждения</t>
  </si>
  <si>
    <t>113.290.1150</t>
  </si>
  <si>
    <t>начисления на выплаты по оплате труда</t>
  </si>
  <si>
    <t>социальные и иные выплаты населению, всего</t>
  </si>
  <si>
    <t>социальные выплаты гражданам, кроме публичных нормативных социальных выплат</t>
  </si>
  <si>
    <t>компенсация школьного питания</t>
  </si>
  <si>
    <t>321.262.1113</t>
  </si>
  <si>
    <t>321.262.1141</t>
  </si>
  <si>
    <t>компенсация физическому лицу при переезде из районов Крайнего Севера после увольнения</t>
  </si>
  <si>
    <t>321.263.0000</t>
  </si>
  <si>
    <t xml:space="preserve">стипендии  </t>
  </si>
  <si>
    <t>340.290.1150</t>
  </si>
  <si>
    <t>премии и гранты</t>
  </si>
  <si>
    <t>350.290.1146</t>
  </si>
  <si>
    <t>иные выплаты населению</t>
  </si>
  <si>
    <t>360.262.1142</t>
  </si>
  <si>
    <t>Расходы на уплату налогов, сборов и иных платежей, всего</t>
  </si>
  <si>
    <t>исполнение судебных актов, всего</t>
  </si>
  <si>
    <t>исполнение судебных актов Российской Федерации и мировых соглашений по возмещению причиненного вреда</t>
  </si>
  <si>
    <t>831.290.1145, 831.290.1147</t>
  </si>
  <si>
    <t>уплату налогов, сборов и иных платежей, всего</t>
  </si>
  <si>
    <t>уплата налога на имущество организаций и земельного налога</t>
  </si>
  <si>
    <t>851.290.1143</t>
  </si>
  <si>
    <t>уплата прочих налогов, сборов</t>
  </si>
  <si>
    <t>852.290.1143</t>
  </si>
  <si>
    <t>уплата штрафов, пеней за несвоевременную уплату налогов и сборов, другие экономические санкции</t>
  </si>
  <si>
    <t>853.290.1144</t>
  </si>
  <si>
    <t>уплата иных платежей</t>
  </si>
  <si>
    <t>853.290.1150</t>
  </si>
  <si>
    <t>безвозмездные перечисления организациям</t>
  </si>
  <si>
    <t>прочие расходы (кроме расходов на закупку товаров, работ, услуг)</t>
  </si>
  <si>
    <t>закупка товаров, работ и услуг , всего</t>
  </si>
  <si>
    <t>расходы на закупку товаров, работ, услуг, всего</t>
  </si>
  <si>
    <t>научно-исследовательские и опытно-конструкторские работы</t>
  </si>
  <si>
    <t>241.226.1130</t>
  </si>
  <si>
    <t xml:space="preserve">капитальный ремонт </t>
  </si>
  <si>
    <t>243.225.1105</t>
  </si>
  <si>
    <t>проведение проектных и изыскательских работ в целях разработки проектно-сметной документации для капитального ремонта, а также работ по ее экспертизе</t>
  </si>
  <si>
    <t>243.226.1132</t>
  </si>
  <si>
    <t>прочие работы, услуги</t>
  </si>
  <si>
    <t>243.226.1140</t>
  </si>
  <si>
    <t>оплата услуг связи</t>
  </si>
  <si>
    <t>оплата услуг интернета</t>
  </si>
  <si>
    <t>оплата услуг отопления прочих постащиков</t>
  </si>
  <si>
    <t>оплата услуг предоставления электроэнергии</t>
  </si>
  <si>
    <t>оплата услуг горячего и холодного водоснабжения, подвоз воды</t>
  </si>
  <si>
    <t>оплата услуг канализации, ассенизации, водоотведения</t>
  </si>
  <si>
    <t>арендная плата за пользование имуществом</t>
  </si>
  <si>
    <t>текущий  ремонт</t>
  </si>
  <si>
    <t>Противопожарные мероприятия (огнезащитная обработка имущества и зарядка огнетушителей)</t>
  </si>
  <si>
    <t>содержание в чистоте помещений, зданий, дворов, иного имущества</t>
  </si>
  <si>
    <t>проведение работ по ремонту и восстановлению эффективности функционирования коммунальных инженерных систем и коммуникаций, осуществляемых сверх регламентированного условиями и поставки коммунальных услуг перечня работ (технологических нужд)</t>
  </si>
  <si>
    <t>244.225.1128</t>
  </si>
  <si>
    <t>другие расходы по содержанию имущества</t>
  </si>
  <si>
    <t>Проведение проектных и изыскательских работ в целях разработки проектно-сметной документации для строительства, реконструкции, технического перевооружения, ремонта, реставрации объектов, а также работ по ее экспертизе</t>
  </si>
  <si>
    <t>Установка, наладка, монтаж охранной, пожарной сигнализации, локально-вычислительных сетей, систем видеонаблюдения, контроля доступа и другие монтажные работы</t>
  </si>
  <si>
    <t>услуги вневедомственной и ведомственной (в том числе пожарной) охраны</t>
  </si>
  <si>
    <t>услуги по страхованию</t>
  </si>
  <si>
    <t>244.226.1135</t>
  </si>
  <si>
    <t>закупка товаров, работ, услуг в сфере информационно-коммуникационных технологий</t>
  </si>
  <si>
    <t>подписка на периодические и справочные издания</t>
  </si>
  <si>
    <t>расходы на оплату договоров гражданско-правового характера, предметом которых являются участие в соревновании (его организации), сопровождение учащихся (студентов), заключенных с физическими лицами (спортсменами, тренерами, лицами, сопровождающими учащихся или студентов на соревнования, олимпиады и иные мероприятия)</t>
  </si>
  <si>
    <t>244.226.1138</t>
  </si>
  <si>
    <t>оплата за обучение на курсах повышения квалификации, подготовки и переподготовки специалистов</t>
  </si>
  <si>
    <t>иные работы и услуги</t>
  </si>
  <si>
    <t>выплата премий, денежных компенсаций, надбавок и иных выплат</t>
  </si>
  <si>
    <t>244.290.1146</t>
  </si>
  <si>
    <t>приобретение (изготовление) подарочной и сувенирной продукции, не предназначенной для дальнейшей перепродажи</t>
  </si>
  <si>
    <t>иные расходы</t>
  </si>
  <si>
    <t>244.290.1150</t>
  </si>
  <si>
    <t>приобретение (изготовление) основных средств</t>
  </si>
  <si>
    <t>приобретение строительных материалов</t>
  </si>
  <si>
    <t>244.340.1112</t>
  </si>
  <si>
    <t>приобретение мягкого инвентаря</t>
  </si>
  <si>
    <t>приобретение медикаментов и перевязочных средств</t>
  </si>
  <si>
    <t>приобретение продуктов питания</t>
  </si>
  <si>
    <t>244.340.1120</t>
  </si>
  <si>
    <t>приобретение горюче-смазочных материалов</t>
  </si>
  <si>
    <t>244.340.1121</t>
  </si>
  <si>
    <t>приобретение прочих материальных запасов</t>
  </si>
  <si>
    <t>Поступление финансовых активов, всего:</t>
  </si>
  <si>
    <t>увеличение остатков средств</t>
  </si>
  <si>
    <t>прочие поступления</t>
  </si>
  <si>
    <t>Выбытие финансовых активов, всего</t>
  </si>
  <si>
    <t>уменьшение остатков средств</t>
  </si>
  <si>
    <t>прочие выбытия</t>
  </si>
  <si>
    <t>Остаток средств на начало года</t>
  </si>
  <si>
    <t>Остаток средств на конец года</t>
  </si>
  <si>
    <t>Наименование</t>
  </si>
  <si>
    <t>Код строки</t>
  </si>
  <si>
    <t>Код по бюджетной классификации Российской Федерации</t>
  </si>
  <si>
    <t xml:space="preserve">Объем финансового обеспечения, руб. (с точностью до двух знаков после запятой - 0,00) </t>
  </si>
  <si>
    <t>всего</t>
  </si>
  <si>
    <t>субсидия на финансовое обеспечение выполнения муниципального задания (расшифровать по наименованиям) (код допКД, допКР)</t>
  </si>
  <si>
    <t>субсидии, предоставляемые в сответствие с абзацем вторым пункта 1 статьи 78.1 Бюджетного кодекса Российской Федерации (расшифровать по наименованиям) (код допКД, доп КР )</t>
  </si>
  <si>
    <t xml:space="preserve">субсидии на осуществление капитальных вложений                   </t>
  </si>
  <si>
    <t>поступления от оказания услуг (выполнение работ)на платной основе и от приносящей доход деятельности (расшифровать по наименованиям) (код допКД, доп КР)</t>
  </si>
  <si>
    <t xml:space="preserve">          III. Показатели по поступлениям и выплатам муниципального учреждения (подразделения)</t>
  </si>
  <si>
    <t>Выплаты по расходам на закупку товаров, работ, услуг всего:</t>
  </si>
  <si>
    <t>в том числе: на оплату контрактов заключенных до начала очередного финансового года:</t>
  </si>
  <si>
    <t>...</t>
  </si>
  <si>
    <t>на закупку товаров, работ, услуг по году начала закупки:</t>
  </si>
  <si>
    <t>Год начала закупки</t>
  </si>
  <si>
    <t>Сумма выплат по расходам на закупку товаров, работ и услуг (с точностью до двух знаков после запятой - 0,00)</t>
  </si>
  <si>
    <t>всего на закупки</t>
  </si>
  <si>
    <t>в соответствии с Федеральным законом от 05.04.2013 № 44-ФЗ «О контрактной системе в сфере закупок товаров, работ, услуг для обеспечения государственных и муниципальных нужд»</t>
  </si>
  <si>
    <t>в соответствии с Федеральным законом от 18.07.2011 № 223-ФЗ «О закупках товаров, работ, услуг отдельными видами юридических лиц»</t>
  </si>
  <si>
    <t>0001</t>
  </si>
  <si>
    <t>III.I. Показатели выплат по расходам на закупку товаров,</t>
  </si>
  <si>
    <t>работ, услуг учреждения (подразделения)</t>
  </si>
  <si>
    <t>IV. Сведения о средствах, поступающих во временное</t>
  </si>
  <si>
    <t>распоряжение учреждения (подразделения)</t>
  </si>
  <si>
    <t>(очередной финансовый год)</t>
  </si>
  <si>
    <t>Сумма (руб., с точностью до двух знаков после запятой - 0,00)</t>
  </si>
  <si>
    <t>Поступление</t>
  </si>
  <si>
    <t>Выбытие</t>
  </si>
  <si>
    <r>
      <t xml:space="preserve">                         </t>
    </r>
    <r>
      <rPr>
        <sz val="12"/>
        <color indexed="8"/>
        <rFont val="Times New Roman"/>
        <family val="1"/>
        <charset val="204"/>
      </rPr>
      <t>V. Справочная информация</t>
    </r>
  </si>
  <si>
    <t>Сумма (тыс. руб.)</t>
  </si>
  <si>
    <t>Объем публичных обязательств, всего:</t>
  </si>
  <si>
    <t>Объем бюджетных инвестиций (в части переданных полномочий муниципального заказчика в соответствии с Бюджетным кодексом Российской Федерации), всего:</t>
  </si>
  <si>
    <t>Руководитель муниципального</t>
  </si>
  <si>
    <t>учреждения (подразделения)</t>
  </si>
  <si>
    <t xml:space="preserve">                                                                             (подпись) (расшифровка подписи)</t>
  </si>
  <si>
    <t>Руководитель финансово-экономической</t>
  </si>
  <si>
    <t>службы муниципального</t>
  </si>
  <si>
    <t>учреждения (подразделения)                          __________ _____________________</t>
  </si>
  <si>
    <t>Главный бухгалтер муниципального</t>
  </si>
  <si>
    <r>
      <t xml:space="preserve">"__" ___________ 20__ г.                       </t>
    </r>
    <r>
      <rPr>
        <sz val="10"/>
        <color indexed="8"/>
        <rFont val="Courier New"/>
        <family val="3"/>
        <charset val="204"/>
      </rPr>
      <t xml:space="preserve">                      </t>
    </r>
  </si>
  <si>
    <t>_________________________</t>
  </si>
  <si>
    <t>Приложение № 3</t>
  </si>
  <si>
    <t>№ п/п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</si>
  <si>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</si>
  <si>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</si>
  <si>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</si>
  <si>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</si>
  <si>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</si>
  <si>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</si>
  <si>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</si>
  <si>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</si>
  <si>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x</t>
  </si>
  <si>
    <t xml:space="preserve">                                                                                        </t>
  </si>
  <si>
    <t xml:space="preserve">                           (должность)         (подпись)         (расшифровка  подписи)    (телефон)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</si>
  <si>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</si>
  <si>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</si>
  <si>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</si>
  <si>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</si>
  <si>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t>Сумма, руб. (гр. 3 x гр. 4 x гр. 5)</t>
  </si>
  <si>
    <t>1.2. Расчеты (обоснования) выплат персоналу при направлении</t>
  </si>
  <si>
    <t>в служебные командировки</t>
  </si>
  <si>
    <t>Код видов расходов ________________________________________________________</t>
  </si>
  <si>
    <t>Источник финансового обеспечения __________________________________________</t>
  </si>
  <si>
    <t xml:space="preserve">          1. Расчеты (обоснования) выплат персоналу (строка 210)</t>
  </si>
  <si>
    <t>Расчеты (обоснования)</t>
  </si>
  <si>
    <t>к плану финансово-хозяйственной деятельности</t>
  </si>
  <si>
    <t>муниципального учреждения</t>
  </si>
  <si>
    <t>к Порядку составления и утверждения</t>
  </si>
  <si>
    <t>плана финансово-хозяйственной</t>
  </si>
  <si>
    <t>деятельности муниципального</t>
  </si>
  <si>
    <t xml:space="preserve"> учреждения Нерюнгринского района,</t>
  </si>
  <si>
    <t>утвержденному постановлением</t>
  </si>
  <si>
    <t>Нерюнгринской районной</t>
  </si>
  <si>
    <t>администрации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</si>
  <si>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</si>
  <si>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</si>
  <si>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</si>
  <si>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1.3. Расчеты (обоснования) выплат персоналу по уходу</t>
  </si>
  <si>
    <t>за ребенком</t>
  </si>
  <si>
    <t>1.4. Расчеты (обоснования) страховых взносов на обязательное</t>
  </si>
  <si>
    <t>страхование в Пенсионный фонд Российской Федерации, в Фонд</t>
  </si>
  <si>
    <t>социального страхования Российской Федерации, в Федеральный</t>
  </si>
  <si>
    <t>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</si>
  <si>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</si>
  <si>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 руб.</t>
  </si>
  <si>
    <t>Сумма взноса, руб.</t>
  </si>
  <si>
    <t>Страховые взносы в Пенсионный фонд Российской Федерации, всего</t>
  </si>
  <si>
    <t>1.1.</t>
  </si>
  <si>
    <t>1.2.</t>
  </si>
  <si>
    <t>по ставке 10,0%</t>
  </si>
  <si>
    <t>1.3.</t>
  </si>
  <si>
    <t>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</si>
  <si>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</si>
  <si>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</si>
  <si>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>2.2.</t>
  </si>
  <si>
    <t>с применением ставки взносов в Фонд социального страхования Российской Федерации по ставке 0,0%</t>
  </si>
  <si>
    <t>2.3.</t>
  </si>
  <si>
    <t>обязательное социальное страхование от несчастных случаев на производстве и профессиональных заболеваний по ставке 0,2%</t>
  </si>
  <si>
    <t>2.4.</t>
  </si>
  <si>
    <t>обязательное социальное страхование от несчастных случаев на производстве и профессиональных заболеваний по ставке 0,_% &lt;*&gt;</t>
  </si>
  <si>
    <t>2.5.</t>
  </si>
  <si>
    <t>Страховые взносы в Федеральный фонд обязательного медицинского страхования, всего (по ставке 5,1%)</t>
  </si>
  <si>
    <t>в том числе:                                                                      по ставке 22,0%</t>
  </si>
  <si>
    <t>в том числе                                                       обязательное социальное страхование на случай временной нетрудоспособности и в связи с материнством по ставке 2,9%</t>
  </si>
  <si>
    <t xml:space="preserve">    --------------------------------</t>
  </si>
  <si>
    <t xml:space="preserve">    &lt;*&gt;   Указываются   страховые  тарифы,  дифференцированные  по  классам</t>
  </si>
  <si>
    <t>профессионального  риска,  установленные  Федеральным законом от 22 декабря</t>
  </si>
  <si>
    <t>2005   г.    N  179-ФЗ  "О  страховых  тарифах  на  обязательное социальное</t>
  </si>
  <si>
    <t>страхование  от  несчастных  случаев  на  производстве  и  профессиональных</t>
  </si>
  <si>
    <t>заболеваний  на  2006 год" (Собрание законодательства Российской Федерации,</t>
  </si>
  <si>
    <t>2005, N 52, ст. 5592; 2015, N 51, ст. 7233).</t>
  </si>
  <si>
    <t>2. Расчеты (обоснования) расходов на социальные и иные</t>
  </si>
  <si>
    <t>выплаты населению</t>
  </si>
  <si>
    <t>Размер одной выплаты, руб.</t>
  </si>
  <si>
    <t>Количество выплат в год</t>
  </si>
  <si>
    <t>Общая сумма выплат, руб. (гр. 3 x гр.4)</t>
  </si>
  <si>
    <t>4. Расчет (обоснование) расходов на безвозмездные</t>
  </si>
  <si>
    <t>перечисления организациям</t>
  </si>
  <si>
    <t>Общая сумма выплат, руб. (гр. 3 x гр. 4)</t>
  </si>
  <si>
    <t>3. Расчет (обоснование) расходов на уплату налогов,</t>
  </si>
  <si>
    <t>сборов и иных платежей</t>
  </si>
  <si>
    <t>Налоговая база, руб.</t>
  </si>
  <si>
    <t>Ставка налога, %</t>
  </si>
  <si>
    <t>Сумма исчисленного налога, подлежащего уплате, руб. (гр. 3 x гр. 4 / 100)</t>
  </si>
  <si>
    <t>5. Расчет (обоснование) прочих расходов (кроме расходов</t>
  </si>
  <si>
    <t>на закупку товаров, работ, услуг)</t>
  </si>
  <si>
    <t>6. Расчет (обоснование) расходов на закупку товаров, работ, услуг</t>
  </si>
  <si>
    <t>Количество номеров</t>
  </si>
  <si>
    <t>Количество платежей в год</t>
  </si>
  <si>
    <t>Стоимость за единицу, руб.</t>
  </si>
  <si>
    <t>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</si>
  <si>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</si>
  <si>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</si>
  <si>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Сумма, руб. (гр. 3 x гр. 4)</t>
  </si>
  <si>
    <t>6.3. Расчет (обоснование) расходов на оплату коммунальных услуг</t>
  </si>
  <si>
    <t>Размер потребления ресурсов</t>
  </si>
  <si>
    <t>Тариф (с учетом НДС), руб.</t>
  </si>
  <si>
    <t>Индексация, %</t>
  </si>
  <si>
    <t>Сумма, руб. гр. 4 x гр. 5 x гр. 6)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</si>
  <si>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</si>
  <si>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</si>
  <si>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</si>
  <si>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 руб.</t>
  </si>
  <si>
    <t>6.5. Расчет (обоснование) расходов на оплату работ, услуг</t>
  </si>
  <si>
    <t>по содержанию имущества</t>
  </si>
  <si>
    <t>Объект</t>
  </si>
  <si>
    <t>Количество работ (услуг)</t>
  </si>
  <si>
    <t>Стоимость работ (услуг), руб.</t>
  </si>
  <si>
    <t>6.6. Расчет (обоснование) расходов на оплату прочих работ, услуг</t>
  </si>
  <si>
    <t>Количество договоров</t>
  </si>
  <si>
    <t>Стоимость услуги, руб.</t>
  </si>
  <si>
    <t>6.7. Расчет (обоснование) расходов на приобретение основных</t>
  </si>
  <si>
    <t>средств, материальных запасов</t>
  </si>
  <si>
    <t>Средняя стоимость, руб.</t>
  </si>
  <si>
    <t>Сумма, руб. (гр. 2 x гр. 3)</t>
  </si>
  <si>
    <t xml:space="preserve"> </t>
  </si>
  <si>
    <t>___________________________</t>
  </si>
  <si>
    <t xml:space="preserve">Поступления от доходов, всего                      </t>
  </si>
  <si>
    <t>коды</t>
  </si>
  <si>
    <t xml:space="preserve">                      План финансово-хозяйственной деятельности</t>
  </si>
  <si>
    <t xml:space="preserve">                                                                                          (подпись)    (расшифровка подписи)          </t>
  </si>
  <si>
    <t xml:space="preserve">                                                                                                            утверждающего документ)          </t>
  </si>
  <si>
    <t xml:space="preserve">                                                                                                  (наименование должности лица,          </t>
  </si>
  <si>
    <t xml:space="preserve">                                                                                                                                УТВЕРЖДАЮ          </t>
  </si>
  <si>
    <t>Приложение № 1</t>
  </si>
  <si>
    <t>Дата</t>
  </si>
  <si>
    <t>по ОКЕИ</t>
  </si>
  <si>
    <t xml:space="preserve">Единица измерения: руб.  </t>
  </si>
  <si>
    <t>Дата предыдущего                                                                              утвержденного плана</t>
  </si>
  <si>
    <t xml:space="preserve">I.  Сведения о деятельности государственного бюджетного учреждения </t>
  </si>
  <si>
    <t xml:space="preserve">1.2.  Виды деятельности муниципального учреждения (подразделения), относящиеся в соответствии с уставом муниципального учреждения (положением подразделения) к его основным видам деятельности: </t>
  </si>
  <si>
    <t xml:space="preserve">1.1.  Цели деятельности учреждения (подразделения):  </t>
  </si>
  <si>
    <t>1.3. Перечень услуг (работ), относящихся в соответствии с уставом муниципального учреждения (положением подразделения) к основным видам деятельности муниципального учреждения (подразделения),  предоставление  которых  для физических и юридических лиц осуществляется, в том числе за плату:</t>
  </si>
  <si>
    <t>Сумма                            (тыс. рублей)</t>
  </si>
  <si>
    <t>на 2017г. очередной финансовый год</t>
  </si>
  <si>
    <t>на 2018г.  1-ый год планового периода</t>
  </si>
  <si>
    <t>на 2019г.  2-ой год планового периода</t>
  </si>
  <si>
    <t>от 14.12.2016 № 1806</t>
  </si>
  <si>
    <t>111.211.0000</t>
  </si>
  <si>
    <t>112.212.1101</t>
  </si>
  <si>
    <t>112.212.1104</t>
  </si>
  <si>
    <t>112.212.1152</t>
  </si>
  <si>
    <t>112.222.1125</t>
  </si>
  <si>
    <t>119.213.0000</t>
  </si>
  <si>
    <t>244.221.0000</t>
  </si>
  <si>
    <t>244.222.1125</t>
  </si>
  <si>
    <t>244.223.1107</t>
  </si>
  <si>
    <t>244.223.1109</t>
  </si>
  <si>
    <t>244.223.1110</t>
  </si>
  <si>
    <t>244.223.1126</t>
  </si>
  <si>
    <t>244.224.0000</t>
  </si>
  <si>
    <t>244.225.1105</t>
  </si>
  <si>
    <t>244.225.1106</t>
  </si>
  <si>
    <t>244.225.1111</t>
  </si>
  <si>
    <t>244.225.1129</t>
  </si>
  <si>
    <t>244.226.1132</t>
  </si>
  <si>
    <t>244.226.1133</t>
  </si>
  <si>
    <t>244.226.1134</t>
  </si>
  <si>
    <t>244.226.1136</t>
  </si>
  <si>
    <t>244.226.1137</t>
  </si>
  <si>
    <t>244.226.1139</t>
  </si>
  <si>
    <t>244.226.1140</t>
  </si>
  <si>
    <t>244.290.1148</t>
  </si>
  <si>
    <t>244.310.1116</t>
  </si>
  <si>
    <t>244.340.1117</t>
  </si>
  <si>
    <t>244.340.1119</t>
  </si>
  <si>
    <t>244.340.1123</t>
  </si>
  <si>
    <t>Итого</t>
  </si>
  <si>
    <t>Остатки субсидии прошлых лет на финансовое обеспечение муниципального задания (ДопКР 2002)</t>
  </si>
  <si>
    <t>Субсидии на финансирование расходов на реализацию государственного стандарта общего образования за счет средств РС(Я) (ДопКР 2001)</t>
  </si>
  <si>
    <t>Субсидии муниципальным учреждениям на финансовое обеспечение муниципального задания на оказание муниципальных услуг (выполнение работ) (ДопКР 2000)</t>
  </si>
  <si>
    <t>Субсидии специальным (коррекционным) образовательным учреждениям на финансовое обеспечение муниципального задания на оказание муниципальных услуг (выполнение работ) за счет средств РС(Я) (ДопКР 2003)</t>
  </si>
  <si>
    <t>Субсидии муниципальным учреждениям на организацию летнего отдыха за счет средств местного бюджета (ДопКР 2007)</t>
  </si>
  <si>
    <t>Субсидии муниципальному архиву на финансовое обеспечение муниципального задания на оказание муниципальных услуг (выполнение работ) за счет средств РС(Я)  (ДопКР 2004)</t>
  </si>
  <si>
    <r>
      <t xml:space="preserve">добровольные взносы и пожертвования физических и юридических лиц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</si>
  <si>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 xml:space="preserve">доходы от возврата остатков субсидий прошлых лет 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</si>
  <si>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 xml:space="preserve">возмещение расходов, связанных с проездом в отпуск </t>
    </r>
    <r>
      <rPr>
        <b/>
        <sz val="10"/>
        <color indexed="8"/>
        <rFont val="Times New Roman"/>
        <family val="1"/>
        <charset val="204"/>
      </rPr>
      <t xml:space="preserve"> </t>
    </r>
  </si>
  <si>
    <r>
      <t>оказание материальной помощи населению</t>
    </r>
    <r>
      <rPr>
        <b/>
        <sz val="10"/>
        <color indexed="8"/>
        <rFont val="Times New Roman"/>
        <family val="1"/>
        <charset val="204"/>
      </rPr>
      <t xml:space="preserve"> </t>
    </r>
  </si>
  <si>
    <t>Субсидии муниципальным учреждениям на расходы по уплате налогов за счет средств местного бюджета (ДопКР 2102)</t>
  </si>
  <si>
    <t>Субсидии муниципальным учреждениям на возмещение расходов, связанных с проездом в отпуск и выездом из РКС (ДопКР 2101)</t>
  </si>
  <si>
    <t>Субсидии муниципальным учреждениям на текущий и капитальный ремонт за счет средств местного бюджета (ДопКР 2103)</t>
  </si>
  <si>
    <t>Субсидии муниципальным учреждениям на приобретение оборудования за счет средств местного бюджета (ДопКР 2104)</t>
  </si>
  <si>
    <t>Субсидии муниципальным учреждениям на мероприятия по целевым программам за счет средств местного бюджета (ДопКР 2105)</t>
  </si>
  <si>
    <t>мун задание</t>
  </si>
  <si>
    <t>целевые</t>
  </si>
  <si>
    <t>Субсидии муниципальным учреждениям на предоставление льгот работникам на коммунальные услуги за счет средств РС(Я) (ДопКР 2106)</t>
  </si>
  <si>
    <t>Субсидии муниципальным учреждениям на организацию летнего отдыха за счет средств РС(Я)  (ДопКР 2107)</t>
  </si>
  <si>
    <t>Расходы на гранты для общеобразовательных учреждений за счет средств РС(Я)  (ДопКР 2110)</t>
  </si>
  <si>
    <t>Субсидии на организацию отдыха и оздоровление детей, находящихся в трудной жизненной ситуации за счет средств РС(Я)  (ДопКР 2128)</t>
  </si>
  <si>
    <t>Родительские взносы (ДопКР 0701)</t>
  </si>
  <si>
    <t>Платные образовательные услуги (ДопКР 0702)</t>
  </si>
  <si>
    <t>Оплата за питание сотрудниками (ДопКР 0704)</t>
  </si>
  <si>
    <t>Добровольные взносы и пожертвования физических и юридических лиц (ДопКР 0708)</t>
  </si>
  <si>
    <t>гранты</t>
  </si>
  <si>
    <t xml:space="preserve"> (ДопКР 07..)</t>
  </si>
  <si>
    <t>Расходы на выплаты персоналу в целях обеспечения выполнения функций, всего:</t>
  </si>
  <si>
    <t>Наименование муниципального учреждения (подразделения)________________</t>
  </si>
  <si>
    <t>ИНН/КПП______________________</t>
  </si>
  <si>
    <t>Код по реестру участников бюджетного процесса, а также юридических лиц, не являющихся участниками бюджетного процесса______________________</t>
  </si>
  <si>
    <t>Наименование органа, осуществляющего функции главного распорядителя бюджетных средств______________________</t>
  </si>
  <si>
    <t>Адрес фактического местонахождения муниципального  учреждения (подразделения)________________</t>
  </si>
  <si>
    <t>Начальник Управления образования</t>
  </si>
  <si>
    <t>(период, на который утверждается план)</t>
  </si>
  <si>
    <t>244.221.1102</t>
  </si>
  <si>
    <t>внебюджет образования</t>
  </si>
  <si>
    <t>Родительские взносы  (ДопКР 0701)</t>
  </si>
  <si>
    <t>Платные образовательные услуги  (ДопКР 0702)</t>
  </si>
  <si>
    <t>Оплата за питание сотрудниками  (ДопКР 0704)</t>
  </si>
  <si>
    <t>Оплата арендодаторами коммунальных услуг  (ДопКР 0705)</t>
  </si>
  <si>
    <t>Добровольные взносы и пожертвования физических и юридических лиц  (ДопКР 0708)</t>
  </si>
  <si>
    <t>Грант  (ДопКР 0711)</t>
  </si>
  <si>
    <t>Арендная плата  (ДопКР 0715)</t>
  </si>
  <si>
    <t>Возмещение за счет виновных лиц  (ДопКР 0713)</t>
  </si>
  <si>
    <t>Доходы за нарушение условий договоров (ФЗ - 44,223)  (ДопКР 0716)</t>
  </si>
  <si>
    <t>на ____________________________ 20__ г.</t>
  </si>
  <si>
    <r>
      <t>Приложение к разделу III.</t>
    </r>
    <r>
      <rPr>
        <b/>
        <sz val="12"/>
        <color indexed="10"/>
        <rFont val="Times New Roman"/>
        <family val="1"/>
        <charset val="204"/>
      </rPr>
      <t xml:space="preserve"> (ЗАПОЛНЯТЬ ТОЛЬКО  1 раз на начало года ДЛЯ ПЭО МУ ЦБ)</t>
    </r>
  </si>
  <si>
    <t>НАИМЕНОВАНИЕ  УЧРЕЖДЕНИЯ</t>
  </si>
  <si>
    <t>______________________                    О.А.  Вицина</t>
  </si>
  <si>
    <t>Нерюнгринской районной администрации от 14.12.2016 № 1806</t>
  </si>
  <si>
    <t xml:space="preserve">муниципального учреждения Нерюнгринского района, утвержденному постановлением </t>
  </si>
  <si>
    <t xml:space="preserve">к Порядку составления и утверждения плана финансово-хозяйственной деятельности </t>
  </si>
  <si>
    <t xml:space="preserve">                                                                                                              "____" ______________ 20__ г.          </t>
  </si>
  <si>
    <t>Субсидии муниципальным учреждениям на обеспечение противопожарной и антитеррористической безопасности за счет средств местного бюджета   (ДопКР 2005)</t>
  </si>
  <si>
    <t>Субсидии на финансирование расходов на реализацию государственного стандарта дошкольного образования за счет средств РС(Я) (ДопКР 2006)</t>
  </si>
  <si>
    <t>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 (ДопКР 2114)</t>
  </si>
  <si>
    <t>ПРИМЕЧАНИЕ:</t>
  </si>
  <si>
    <t>ГРАФЫ  - так же.</t>
  </si>
  <si>
    <t>В  ПЛАНЕ  ФХД        СТРОКИ НЕ  УДАЛЯТЬ,  только можно скрывать</t>
  </si>
  <si>
    <t>Наименование ДопКР:</t>
  </si>
  <si>
    <t>При этом, плановые показатели по расходам Раздела III Плана. по строке 260 графы 4 на соответствующий финансовый год должны быть равны показателям граф 4 - 6 по строке 0001 Раздела III.I Плана.                  (п.2.3 постановления)</t>
  </si>
  <si>
    <r>
      <rPr>
        <b/>
        <sz val="11"/>
        <color indexed="12"/>
        <rFont val="Times New Roman"/>
        <family val="1"/>
        <charset val="204"/>
      </rPr>
      <t>Остаток средств на начало года</t>
    </r>
    <r>
      <rPr>
        <sz val="11"/>
        <color indexed="8"/>
        <rFont val="Times New Roman"/>
        <family val="1"/>
        <charset val="204"/>
      </rPr>
      <t xml:space="preserve">, руб. (с точностью до двух знаков после запятой - 0,00) </t>
    </r>
  </si>
  <si>
    <t>формула проверки</t>
  </si>
  <si>
    <t>Субсидии муниципальным учреждениям на культ-массовые, спортивные и другие мероприятия за счет средств местного бюджета (ДопКР 2108)</t>
  </si>
  <si>
    <t>Муниципальное учреждение дополнительного образования детско-юношеская спортивная школа "Лидер" города Нерюнгри</t>
  </si>
  <si>
    <t>678960, Российская Федерация, Республика Саха (Якутия), г. Нерюнгри пр-кт Дружбы народов 12/2</t>
  </si>
  <si>
    <t>1434027991 / 143401001</t>
  </si>
  <si>
    <t>Остатки субсидии на финансирование расходов на реализацию государственного стандарта за счет средств РС(Я) прошлых лет (ДопКР 2006)</t>
  </si>
  <si>
    <t xml:space="preserve">                     на 01 января 2017 г.</t>
  </si>
  <si>
    <r>
      <t>(уполномоченное лицо)                                  __________ __</t>
    </r>
    <r>
      <rPr>
        <u/>
        <sz val="12"/>
        <color indexed="8"/>
        <rFont val="Times New Roman"/>
        <family val="1"/>
        <charset val="204"/>
      </rPr>
      <t>Андрющенко А.Б.</t>
    </r>
    <r>
      <rPr>
        <sz val="12"/>
        <color indexed="8"/>
        <rFont val="Times New Roman"/>
        <family val="1"/>
        <charset val="204"/>
      </rPr>
      <t>__</t>
    </r>
  </si>
  <si>
    <t>Муниципальное казенное учреждение Управление образования Нерюнгринского района</t>
  </si>
  <si>
    <t>Субсидии на укрепление МТБ учреждений образования за счет средств благотворительной помощи  (ДопКР 2120)</t>
  </si>
  <si>
    <t>5083</t>
  </si>
  <si>
    <t>2060</t>
  </si>
  <si>
    <t>47</t>
  </si>
  <si>
    <t>физическая и спортивная подготовка детей, подростков и молодежи, развитие мотивации личности детей к оздоровлению и физическому развитию, в интересах личности, общества и государства</t>
  </si>
  <si>
    <t>дополнительное образование</t>
  </si>
  <si>
    <t>нет</t>
  </si>
  <si>
    <r>
      <t>учреждения (подразделения)                          __________ __</t>
    </r>
    <r>
      <rPr>
        <u/>
        <sz val="12"/>
        <color indexed="8"/>
        <rFont val="Times New Roman"/>
        <family val="1"/>
        <charset val="204"/>
      </rPr>
      <t>Вакулина Т.С._______</t>
    </r>
    <r>
      <rPr>
        <sz val="12"/>
        <color indexed="8"/>
        <rFont val="Times New Roman"/>
        <family val="1"/>
        <charset val="204"/>
      </rPr>
      <t>_</t>
    </r>
  </si>
  <si>
    <r>
      <t>Исполнитель _</t>
    </r>
    <r>
      <rPr>
        <u/>
        <sz val="12"/>
        <color indexed="8"/>
        <rFont val="Times New Roman"/>
        <family val="1"/>
        <charset val="204"/>
      </rPr>
      <t>экономист___</t>
    </r>
    <r>
      <rPr>
        <sz val="12"/>
        <color indexed="8"/>
        <rFont val="Times New Roman"/>
        <family val="1"/>
        <charset val="204"/>
      </rPr>
      <t>__ _____________ _</t>
    </r>
    <r>
      <rPr>
        <u/>
        <sz val="12"/>
        <color indexed="8"/>
        <rFont val="Times New Roman"/>
        <family val="1"/>
        <charset val="204"/>
      </rPr>
      <t xml:space="preserve">     Панаева И.А.            </t>
    </r>
    <r>
      <rPr>
        <sz val="12"/>
        <color indexed="8"/>
        <rFont val="Times New Roman"/>
        <family val="1"/>
        <charset val="204"/>
      </rPr>
      <t>_    _</t>
    </r>
    <r>
      <rPr>
        <u/>
        <sz val="12"/>
        <color indexed="8"/>
        <rFont val="Times New Roman"/>
        <family val="1"/>
        <charset val="204"/>
      </rPr>
      <t>4 -12-74</t>
    </r>
    <r>
      <rPr>
        <sz val="12"/>
        <color indexed="8"/>
        <rFont val="Times New Roman"/>
        <family val="1"/>
        <charset val="204"/>
      </rPr>
      <t>_</t>
    </r>
  </si>
  <si>
    <t xml:space="preserve">                     на плановый период 2018 год.</t>
  </si>
  <si>
    <t xml:space="preserve">                     на плановый период 2019 год.</t>
  </si>
  <si>
    <t>на 2017 год и</t>
  </si>
  <si>
    <t xml:space="preserve"> плановый период 2018-2019 гг</t>
  </si>
  <si>
    <t xml:space="preserve">            средства подлежащие возврату в бюджет:</t>
  </si>
  <si>
    <r>
      <t>Источник финансового обеспечения _</t>
    </r>
    <r>
      <rPr>
        <u/>
        <sz val="12"/>
        <color indexed="8"/>
        <rFont val="Times New Roman"/>
        <family val="1"/>
        <charset val="204"/>
      </rPr>
      <t>_Субсидии на выполнение государственного (муниципального) задания__(КВФО 4)___</t>
    </r>
    <r>
      <rPr>
        <sz val="12"/>
        <color indexed="8"/>
        <rFont val="Times New Roman"/>
        <family val="1"/>
        <charset val="204"/>
      </rPr>
      <t>___________________________________</t>
    </r>
  </si>
  <si>
    <t>6.1. Расчет (обоснование) расходов на оплату услуг связи КОСГУ 221</t>
  </si>
  <si>
    <t>6.1.1.  Расчет (обоснование) расходов на оплату услуг связи (статья 221 - 0000 - 2000)</t>
  </si>
  <si>
    <t>6.1.2.  Расчет (обоснование) расходов на оплату услуг интернета (статья 221 - 1102 - 2000)</t>
  </si>
  <si>
    <t>Администратимно управленческий персонал</t>
  </si>
  <si>
    <t>Руководители структурных подразделений</t>
  </si>
  <si>
    <t>Фонд оплаты труда в год, руб. (гр. 3 x гр. 4 x (1 + гр. 8 / 100) + гр. 9 x 12)</t>
  </si>
  <si>
    <t>Общеотраслевые служащие</t>
  </si>
  <si>
    <t>Общеотраслевые рабочие</t>
  </si>
  <si>
    <t>Педагогические работники</t>
  </si>
  <si>
    <t>Работники культуры</t>
  </si>
  <si>
    <t xml:space="preserve"> Медицинский персонал</t>
  </si>
  <si>
    <t>Ежемесячная надбавка к должностному окладу, % (веверные надбавки)</t>
  </si>
  <si>
    <t>статья 213-0000-2000 и статья 213-0000-2002</t>
  </si>
  <si>
    <r>
      <t>Код видов расходов __</t>
    </r>
    <r>
      <rPr>
        <u/>
        <sz val="12"/>
        <color indexed="8"/>
        <rFont val="Times New Roman"/>
        <family val="1"/>
        <charset val="204"/>
      </rPr>
      <t>Выплаты персоналу</t>
    </r>
    <r>
      <rPr>
        <sz val="12"/>
        <color indexed="8"/>
        <rFont val="Times New Roman"/>
        <family val="1"/>
        <charset val="204"/>
      </rPr>
      <t>__</t>
    </r>
    <r>
      <rPr>
        <u/>
        <sz val="12"/>
        <color indexed="8"/>
        <rFont val="Times New Roman"/>
        <family val="1"/>
        <charset val="204"/>
      </rPr>
      <t>(КВР 110)</t>
    </r>
    <r>
      <rPr>
        <sz val="12"/>
        <color indexed="8"/>
        <rFont val="Times New Roman"/>
        <family val="1"/>
        <charset val="204"/>
      </rPr>
      <t>________________________</t>
    </r>
  </si>
  <si>
    <t>1.2.1. Расчеты (обоснования) выплат персоналу на командировочные расходы (в части проезда и проживания)  (статья 112-212-1104-2108)</t>
  </si>
  <si>
    <t>1.1. Расчеты (обоснования) расходов на оплату труда статья   111-211-0000-2000                                          и статья 111-211-0000-2002</t>
  </si>
  <si>
    <t xml:space="preserve">Количество дней </t>
  </si>
  <si>
    <t>Проезд пгт.Прогресс, Первенство Амурской области по баскетболу</t>
  </si>
  <si>
    <t>Проезд с. Намцы Первенство РС(Я) по волейболу</t>
  </si>
  <si>
    <t xml:space="preserve">Проживание на Первенстве РС(Я) по баскетболу </t>
  </si>
  <si>
    <t>Проживание Первенстве Амурской области по баскетболу</t>
  </si>
  <si>
    <t>Проживание Первенство РС(Я) по волейболу</t>
  </si>
  <si>
    <t>Проживание на Первенстве РС(Я) по волейболу</t>
  </si>
  <si>
    <t>Проживание на Первенстве РС(Я) по теннису</t>
  </si>
  <si>
    <t>Проживание на Спартакиаде школьников РС(Я)</t>
  </si>
  <si>
    <t>Проживание на Первенстве РС(Я) по пулевой стрельбе</t>
  </si>
  <si>
    <t>Проживание на Спартакиаде РС(Я) по пулевой стрельбе</t>
  </si>
  <si>
    <t xml:space="preserve">Проживание на Первенстве РС(Я) по легкой атлетике </t>
  </si>
  <si>
    <t>Проживание на Спартакиаде РС(Я)по легкой атлетике</t>
  </si>
  <si>
    <t>Проживание в г.Алдане на лично-командном Первенстве по лыжным гонкам</t>
  </si>
  <si>
    <t>Проезд в г.Благовещенск на Первенство Амурской области</t>
  </si>
  <si>
    <t>Проживание в г.Благовещенске на Первенстве Амурской области</t>
  </si>
  <si>
    <t>Проживание в г.Якутске на первенстве РС(Я) по мини-футболу</t>
  </si>
  <si>
    <t>Проезд в г.Ангарск на первенство по Хоккею с шайбой</t>
  </si>
  <si>
    <t>Проживание на первенстве по Хоккею с шайбой</t>
  </si>
  <si>
    <t>Суточные на Первенстве РС(Я) по баскетболу</t>
  </si>
  <si>
    <t>1.2.2. Расчеты (обоснования) выплат персоналу на суточные при служебных командировках (статья 112-212-1152-2108)</t>
  </si>
  <si>
    <t>Суточные на Первенстве Амурской области по баскетболу</t>
  </si>
  <si>
    <t>Суточные на Первенстве РС(Я) по волейболу</t>
  </si>
  <si>
    <t>Суточные на Первенстве РС(Я) по настольному теннису (февраль,март)</t>
  </si>
  <si>
    <t xml:space="preserve">Суточные на Спартакиаде школьников РС(Я) по настольному теннису 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</si>
</sst>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#,##0.00_ ;[Red]\-#,##0.00\ "/>
    <numFmt numFmtId="165" formatCode="#,##0.00_ ;\-#,##0.00\ "/>
  </numFmts>
  <fonts count="39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indexed="8"/>
      <name val="Courier New"/>
      <family val="3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1"/>
      <color indexed="12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0"/>
      <color indexed="8"/>
      <name val="Arial Cyr"/>
      <charset val="204"/>
    </font>
    <font>
      <b/>
      <sz val="11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22"/>
      <color indexed="10"/>
      <name val="Calibri"/>
      <family val="2"/>
      <charset val="204"/>
    </font>
    <font>
      <b/>
      <sz val="20"/>
      <color indexed="10"/>
      <name val="Calibri"/>
      <family val="2"/>
      <charset val="204"/>
    </font>
    <font>
      <sz val="10"/>
      <color indexed="8"/>
      <name val="Arial Cyr"/>
      <charset val="204"/>
    </font>
    <font>
      <u/>
      <sz val="11"/>
      <color indexed="8"/>
      <name val="Calibri"/>
      <family val="2"/>
      <charset val="204"/>
    </font>
    <font>
      <u/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4" fillId="0" borderId="0"/>
    <xf numFmtId="43" fontId="22" fillId="0" borderId="0" applyFont="0" applyFill="0" applyBorder="0" applyAlignment="0" applyProtection="0"/>
  </cellStyleXfs>
  <cellXfs count="364">
    <xf numFmtId="0" fontId="0" fillId="0" borderId="0" xfId="0"/>
    <xf numFmtId="0" fontId="1" fillId="0" borderId="0" xfId="0" applyFont="1" applyAlignment="1">
      <alignment horizontal="justify" vertic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49" fontId="0" fillId="0" borderId="0" xfId="0" applyNumberFormat="1"/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justify" vertical="center"/>
    </xf>
    <xf numFmtId="0" fontId="1" fillId="0" borderId="0" xfId="0" applyFont="1" applyAlignment="1">
      <alignment horizontal="right" vertical="center"/>
    </xf>
    <xf numFmtId="0" fontId="0" fillId="0" borderId="0" xfId="0" applyBorder="1"/>
    <xf numFmtId="0" fontId="1" fillId="0" borderId="0" xfId="0" applyFont="1" applyBorder="1" applyAlignment="1">
      <alignment horizontal="right"/>
    </xf>
    <xf numFmtId="0" fontId="2" fillId="0" borderId="0" xfId="0" applyFont="1" applyBorder="1" applyAlignment="1">
      <alignment horizontal="justify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justify" vertical="top" wrapText="1"/>
    </xf>
    <xf numFmtId="0" fontId="1" fillId="0" borderId="0" xfId="0" applyFont="1" applyBorder="1" applyAlignment="1">
      <alignment horizontal="justify"/>
    </xf>
    <xf numFmtId="0" fontId="1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left" vertical="top" wrapText="1" indent="4"/>
    </xf>
    <xf numFmtId="0" fontId="38" fillId="0" borderId="0" xfId="1" applyBorder="1" applyAlignment="1" applyProtection="1">
      <alignment vertical="top" wrapText="1"/>
    </xf>
    <xf numFmtId="0" fontId="5" fillId="0" borderId="0" xfId="0" applyFont="1" applyBorder="1" applyAlignment="1">
      <alignment horizontal="justify"/>
    </xf>
    <xf numFmtId="0" fontId="38" fillId="0" borderId="0" xfId="1" applyBorder="1" applyAlignment="1" applyProtection="1">
      <alignment horizontal="justify"/>
    </xf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justify" vertical="top" wrapText="1"/>
    </xf>
    <xf numFmtId="0" fontId="2" fillId="0" borderId="0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 applyFill="1" applyAlignment="1">
      <alignment vertical="top" wrapText="1"/>
    </xf>
    <xf numFmtId="0" fontId="8" fillId="0" borderId="2" xfId="0" applyFont="1" applyFill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2" fillId="0" borderId="0" xfId="0" applyFont="1" applyAlignment="1"/>
    <xf numFmtId="164" fontId="12" fillId="0" borderId="1" xfId="0" applyNumberFormat="1" applyFont="1" applyBorder="1" applyAlignment="1">
      <alignment horizontal="right" vertical="center" wrapText="1"/>
    </xf>
    <xf numFmtId="164" fontId="12" fillId="0" borderId="1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justify" wrapText="1"/>
    </xf>
    <xf numFmtId="0" fontId="2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justify" wrapText="1"/>
    </xf>
    <xf numFmtId="0" fontId="2" fillId="0" borderId="0" xfId="0" applyFont="1" applyBorder="1" applyAlignment="1">
      <alignment wrapText="1"/>
    </xf>
    <xf numFmtId="0" fontId="2" fillId="0" borderId="2" xfId="0" applyFont="1" applyBorder="1" applyAlignment="1">
      <alignment horizontal="justify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3" fontId="9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/>
    <xf numFmtId="0" fontId="15" fillId="0" borderId="0" xfId="0" applyFont="1"/>
    <xf numFmtId="0" fontId="9" fillId="0" borderId="0" xfId="0" applyFont="1" applyBorder="1" applyAlignment="1">
      <alignment horizontal="right" vertical="center" wrapText="1"/>
    </xf>
    <xf numFmtId="0" fontId="9" fillId="0" borderId="0" xfId="0" applyFont="1" applyBorder="1" applyAlignment="1">
      <alignment horizontal="justify" wrapText="1"/>
    </xf>
    <xf numFmtId="0" fontId="9" fillId="0" borderId="0" xfId="0" applyFont="1" applyBorder="1" applyAlignment="1">
      <alignment horizontal="right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9" fillId="0" borderId="1" xfId="0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164" fontId="9" fillId="0" borderId="1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2" fillId="0" borderId="0" xfId="0" applyFont="1" applyFill="1" applyAlignment="1"/>
    <xf numFmtId="0" fontId="2" fillId="0" borderId="0" xfId="0" applyFont="1" applyFill="1"/>
    <xf numFmtId="0" fontId="10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 wrapText="1"/>
    </xf>
    <xf numFmtId="164" fontId="12" fillId="0" borderId="4" xfId="0" applyNumberFormat="1" applyFont="1" applyFill="1" applyBorder="1" applyAlignment="1">
      <alignment horizontal="right" vertical="center" wrapText="1"/>
    </xf>
    <xf numFmtId="164" fontId="9" fillId="0" borderId="4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43" fontId="9" fillId="0" borderId="1" xfId="0" applyNumberFormat="1" applyFont="1" applyFill="1" applyBorder="1" applyAlignment="1">
      <alignment horizontal="right" vertical="center" wrapText="1"/>
    </xf>
    <xf numFmtId="0" fontId="21" fillId="0" borderId="0" xfId="0" applyFont="1" applyFill="1"/>
    <xf numFmtId="0" fontId="9" fillId="0" borderId="1" xfId="0" applyFont="1" applyFill="1" applyBorder="1" applyAlignment="1">
      <alignment vertical="center"/>
    </xf>
    <xf numFmtId="164" fontId="12" fillId="0" borderId="1" xfId="0" applyNumberFormat="1" applyFont="1" applyFill="1" applyBorder="1" applyAlignment="1">
      <alignment horizontal="right" vertical="center"/>
    </xf>
    <xf numFmtId="164" fontId="9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Fill="1"/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3" fontId="23" fillId="0" borderId="0" xfId="3" applyFont="1" applyFill="1"/>
    <xf numFmtId="43" fontId="0" fillId="0" borderId="0" xfId="0" applyNumberFormat="1" applyFill="1"/>
    <xf numFmtId="0" fontId="2" fillId="0" borderId="0" xfId="0" applyFont="1" applyAlignment="1">
      <alignment vertical="center" wrapText="1"/>
    </xf>
    <xf numFmtId="0" fontId="0" fillId="0" borderId="0" xfId="0" applyFont="1" applyFill="1"/>
    <xf numFmtId="0" fontId="0" fillId="0" borderId="0" xfId="0" applyFill="1" applyAlignment="1">
      <alignment vertical="center"/>
    </xf>
    <xf numFmtId="4" fontId="0" fillId="0" borderId="0" xfId="0" applyNumberFormat="1" applyFill="1"/>
    <xf numFmtId="0" fontId="1" fillId="0" borderId="0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justify"/>
    </xf>
    <xf numFmtId="0" fontId="26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8" fillId="0" borderId="5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9" fillId="0" borderId="4" xfId="0" applyNumberFormat="1" applyFont="1" applyFill="1" applyBorder="1" applyAlignment="1">
      <alignment horizontal="center"/>
    </xf>
    <xf numFmtId="0" fontId="27" fillId="0" borderId="4" xfId="0" applyNumberFormat="1" applyFont="1" applyFill="1" applyBorder="1" applyAlignment="1"/>
    <xf numFmtId="0" fontId="27" fillId="0" borderId="1" xfId="0" applyFont="1" applyFill="1" applyBorder="1" applyAlignment="1">
      <alignment horizontal="center"/>
    </xf>
    <xf numFmtId="2" fontId="27" fillId="0" borderId="1" xfId="0" applyNumberFormat="1" applyFont="1" applyFill="1" applyBorder="1" applyAlignment="1"/>
    <xf numFmtId="0" fontId="27" fillId="0" borderId="4" xfId="0" applyNumberFormat="1" applyFont="1" applyFill="1" applyBorder="1" applyAlignment="1">
      <alignment horizontal="right"/>
    </xf>
    <xf numFmtId="0" fontId="27" fillId="0" borderId="4" xfId="0" applyFont="1" applyFill="1" applyBorder="1"/>
    <xf numFmtId="0" fontId="28" fillId="0" borderId="5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4" fontId="30" fillId="0" borderId="1" xfId="0" applyNumberFormat="1" applyFont="1" applyFill="1" applyBorder="1" applyAlignment="1">
      <alignment horizontal="center" vertical="center"/>
    </xf>
    <xf numFmtId="43" fontId="26" fillId="0" borderId="0" xfId="3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5" fontId="28" fillId="0" borderId="4" xfId="3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3" fontId="0" fillId="0" borderId="0" xfId="3" applyFont="1" applyFill="1"/>
    <xf numFmtId="0" fontId="2" fillId="0" borderId="0" xfId="0" applyFont="1" applyFill="1" applyAlignment="1">
      <alignment vertical="center"/>
    </xf>
    <xf numFmtId="165" fontId="0" fillId="0" borderId="0" xfId="0" applyNumberFormat="1"/>
    <xf numFmtId="4" fontId="1" fillId="0" borderId="1" xfId="0" applyNumberFormat="1" applyFont="1" applyFill="1" applyBorder="1" applyAlignment="1">
      <alignment horizontal="center" vertical="top" wrapText="1"/>
    </xf>
    <xf numFmtId="0" fontId="15" fillId="0" borderId="0" xfId="0" applyFont="1" applyFill="1"/>
    <xf numFmtId="0" fontId="31" fillId="0" borderId="6" xfId="0" applyFont="1" applyFill="1" applyBorder="1" applyAlignment="1">
      <alignment horizontal="center" vertical="top" wrapText="1"/>
    </xf>
    <xf numFmtId="4" fontId="0" fillId="0" borderId="0" xfId="0" applyNumberFormat="1" applyFill="1" applyAlignment="1">
      <alignment vertical="center"/>
    </xf>
    <xf numFmtId="0" fontId="25" fillId="0" borderId="7" xfId="0" applyFont="1" applyFill="1" applyBorder="1" applyAlignment="1">
      <alignment horizontal="center" vertical="top" wrapText="1"/>
    </xf>
    <xf numFmtId="0" fontId="25" fillId="0" borderId="7" xfId="0" applyFont="1" applyFill="1" applyBorder="1" applyAlignment="1">
      <alignment horizontal="center" vertical="center" wrapText="1"/>
    </xf>
    <xf numFmtId="4" fontId="25" fillId="0" borderId="7" xfId="0" applyNumberFormat="1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horizontal="center" vertical="center" wrapText="1"/>
    </xf>
    <xf numFmtId="4" fontId="25" fillId="0" borderId="0" xfId="0" applyNumberFormat="1" applyFont="1" applyFill="1" applyBorder="1" applyAlignment="1">
      <alignment horizontal="center" vertical="top" wrapText="1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" fontId="0" fillId="0" borderId="0" xfId="0" applyNumberFormat="1" applyFill="1" applyBorder="1"/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4" fontId="24" fillId="0" borderId="4" xfId="2" applyNumberFormat="1" applyFill="1" applyBorder="1" applyAlignment="1" applyProtection="1">
      <alignment horizontal="center" vertical="center" wrapText="1"/>
      <protection locked="0"/>
    </xf>
    <xf numFmtId="0" fontId="24" fillId="0" borderId="4" xfId="2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165" fontId="25" fillId="0" borderId="1" xfId="3" applyNumberFormat="1" applyFont="1" applyFill="1" applyBorder="1" applyAlignment="1">
      <alignment vertical="center" wrapText="1"/>
    </xf>
    <xf numFmtId="4" fontId="1" fillId="0" borderId="1" xfId="3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1" fillId="0" borderId="0" xfId="3" applyNumberFormat="1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" fontId="0" fillId="0" borderId="7" xfId="0" applyNumberFormat="1" applyFill="1" applyBorder="1"/>
    <xf numFmtId="0" fontId="0" fillId="0" borderId="7" xfId="0" applyFill="1" applyBorder="1"/>
    <xf numFmtId="4" fontId="15" fillId="0" borderId="0" xfId="0" applyNumberFormat="1" applyFont="1" applyFill="1"/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4" fontId="1" fillId="0" borderId="6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" fontId="25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4" xfId="3" applyNumberFormat="1" applyFont="1" applyFill="1" applyBorder="1" applyAlignment="1">
      <alignment horizontal="center" vertical="center" wrapText="1"/>
    </xf>
    <xf numFmtId="4" fontId="25" fillId="0" borderId="0" xfId="0" applyNumberFormat="1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vertical="center" wrapText="1"/>
    </xf>
    <xf numFmtId="4" fontId="1" fillId="0" borderId="0" xfId="0" applyNumberFormat="1" applyFont="1" applyFill="1" applyBorder="1" applyAlignment="1">
      <alignment horizontal="center" vertical="top" wrapText="1"/>
    </xf>
    <xf numFmtId="4" fontId="3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center" vertical="center" wrapText="1"/>
    </xf>
    <xf numFmtId="43" fontId="15" fillId="0" borderId="0" xfId="3" applyFont="1" applyFill="1"/>
    <xf numFmtId="43" fontId="15" fillId="0" borderId="0" xfId="0" applyNumberFormat="1" applyFont="1" applyFill="1"/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1" xfId="0" applyFill="1" applyBorder="1"/>
    <xf numFmtId="4" fontId="2" fillId="0" borderId="1" xfId="0" applyNumberFormat="1" applyFont="1" applyFill="1" applyBorder="1" applyAlignment="1">
      <alignment vertical="center"/>
    </xf>
    <xf numFmtId="4" fontId="25" fillId="0" borderId="1" xfId="0" applyNumberFormat="1" applyFont="1" applyFill="1" applyBorder="1"/>
    <xf numFmtId="165" fontId="28" fillId="0" borderId="1" xfId="3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vertical="center"/>
    </xf>
    <xf numFmtId="0" fontId="1" fillId="0" borderId="0" xfId="0" applyFont="1"/>
    <xf numFmtId="0" fontId="1" fillId="0" borderId="7" xfId="0" applyFont="1" applyFill="1" applyBorder="1"/>
    <xf numFmtId="0" fontId="1" fillId="0" borderId="0" xfId="0" applyFont="1" applyFill="1" applyBorder="1"/>
    <xf numFmtId="4" fontId="1" fillId="0" borderId="1" xfId="0" applyNumberFormat="1" applyFont="1" applyBorder="1"/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top"/>
    </xf>
    <xf numFmtId="4" fontId="1" fillId="0" borderId="1" xfId="0" applyNumberFormat="1" applyFont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top" wrapText="1"/>
    </xf>
    <xf numFmtId="0" fontId="1" fillId="0" borderId="0" xfId="0" applyFont="1" applyAlignment="1"/>
    <xf numFmtId="4" fontId="1" fillId="0" borderId="5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0" fontId="10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164" fontId="12" fillId="2" borderId="1" xfId="0" applyNumberFormat="1" applyFont="1" applyFill="1" applyBorder="1" applyAlignment="1">
      <alignment horizontal="right" vertical="center" wrapText="1"/>
    </xf>
    <xf numFmtId="164" fontId="9" fillId="2" borderId="1" xfId="0" applyNumberFormat="1" applyFont="1" applyFill="1" applyBorder="1" applyAlignment="1">
      <alignment horizontal="right" vertical="center" wrapText="1"/>
    </xf>
    <xf numFmtId="164" fontId="9" fillId="2" borderId="4" xfId="0" applyNumberFormat="1" applyFont="1" applyFill="1" applyBorder="1" applyAlignment="1">
      <alignment horizontal="right" vertical="center" wrapText="1"/>
    </xf>
    <xf numFmtId="43" fontId="9" fillId="2" borderId="1" xfId="0" applyNumberFormat="1" applyFont="1" applyFill="1" applyBorder="1" applyAlignment="1">
      <alignment horizontal="right" vertical="center" wrapText="1"/>
    </xf>
    <xf numFmtId="164" fontId="9" fillId="2" borderId="1" xfId="0" applyNumberFormat="1" applyFont="1" applyFill="1" applyBorder="1" applyAlignment="1">
      <alignment horizontal="right" vertical="center"/>
    </xf>
    <xf numFmtId="0" fontId="0" fillId="2" borderId="0" xfId="0" applyFill="1"/>
    <xf numFmtId="0" fontId="1" fillId="0" borderId="5" xfId="0" applyFont="1" applyFill="1" applyBorder="1" applyAlignment="1">
      <alignment horizontal="left" vertical="top" wrapText="1"/>
    </xf>
    <xf numFmtId="4" fontId="0" fillId="0" borderId="0" xfId="0" applyNumberForma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4" fontId="15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43" fontId="15" fillId="0" borderId="0" xfId="3" applyFont="1" applyFill="1" applyBorder="1" applyAlignment="1">
      <alignment horizontal="left"/>
    </xf>
    <xf numFmtId="43" fontId="0" fillId="0" borderId="0" xfId="3" applyFont="1" applyFill="1" applyBorder="1" applyAlignment="1">
      <alignment horizontal="left"/>
    </xf>
    <xf numFmtId="43" fontId="0" fillId="0" borderId="0" xfId="3" applyFont="1" applyFill="1" applyBorder="1" applyAlignment="1">
      <alignment horizontal="center" vertical="center"/>
    </xf>
    <xf numFmtId="43" fontId="0" fillId="0" borderId="0" xfId="3" applyFont="1" applyFill="1" applyBorder="1"/>
    <xf numFmtId="0" fontId="13" fillId="0" borderId="0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9" fillId="0" borderId="0" xfId="0" applyFont="1" applyBorder="1" applyAlignment="1">
      <alignment horizontal="right" wrapText="1"/>
    </xf>
    <xf numFmtId="0" fontId="9" fillId="0" borderId="14" xfId="0" applyFont="1" applyBorder="1" applyAlignment="1">
      <alignment horizontal="right" wrapText="1"/>
    </xf>
    <xf numFmtId="0" fontId="14" fillId="0" borderId="0" xfId="0" applyFont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center" vertical="top" wrapText="1"/>
    </xf>
    <xf numFmtId="0" fontId="8" fillId="0" borderId="2" xfId="0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wrapText="1"/>
    </xf>
    <xf numFmtId="49" fontId="4" fillId="0" borderId="1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right" vertical="top" wrapText="1"/>
    </xf>
    <xf numFmtId="0" fontId="5" fillId="0" borderId="0" xfId="0" applyFont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4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center"/>
    </xf>
    <xf numFmtId="0" fontId="35" fillId="0" borderId="0" xfId="0" applyFont="1" applyFill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/>
    </xf>
    <xf numFmtId="4" fontId="2" fillId="0" borderId="8" xfId="0" applyNumberFormat="1" applyFont="1" applyFill="1" applyBorder="1" applyAlignment="1">
      <alignment horizontal="center" vertical="center"/>
    </xf>
    <xf numFmtId="4" fontId="2" fillId="0" borderId="9" xfId="0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/>
    </xf>
    <xf numFmtId="4" fontId="1" fillId="0" borderId="1" xfId="0" applyNumberFormat="1" applyFont="1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5" fillId="0" borderId="8" xfId="0" applyFont="1" applyFill="1" applyBorder="1" applyAlignment="1">
      <alignment horizontal="center" vertical="top" wrapText="1"/>
    </xf>
    <xf numFmtId="0" fontId="25" fillId="0" borderId="9" xfId="0" applyFont="1" applyFill="1" applyBorder="1" applyAlignment="1">
      <alignment horizontal="center" vertical="top" wrapText="1"/>
    </xf>
    <xf numFmtId="0" fontId="25" fillId="0" borderId="3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0" fillId="0" borderId="10" xfId="0" applyFill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left" wrapText="1"/>
    </xf>
    <xf numFmtId="0" fontId="2" fillId="0" borderId="0" xfId="0" applyFont="1" applyFill="1" applyAlignment="1">
      <alignment horizontal="center" wrapText="1"/>
    </xf>
    <xf numFmtId="0" fontId="2" fillId="0" borderId="2" xfId="0" applyFont="1" applyFill="1" applyBorder="1" applyAlignment="1">
      <alignment horizontal="center"/>
    </xf>
    <xf numFmtId="0" fontId="0" fillId="0" borderId="8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wrapText="1"/>
    </xf>
    <xf numFmtId="0" fontId="28" fillId="0" borderId="6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Обычный 2" xfId="2"/>
    <cellStyle name="Финансовый" xfId="3" builtin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21</xdr:col>
      <xdr:colOff>247650</xdr:colOff>
      <xdr:row>45</xdr:row>
      <xdr:rowOff>107950</xdr:rowOff>
    </xdr:to>
    <xdr:pic>
      <xdr:nvPicPr>
        <xdr:cNvPr id="1025" name="Picture 1" descr="ФХД от 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17200" y="2044700"/>
          <a:ext cx="7562850" cy="106934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21</xdr:col>
      <xdr:colOff>247650</xdr:colOff>
      <xdr:row>45</xdr:row>
      <xdr:rowOff>107950</xdr:rowOff>
    </xdr:to>
    <xdr:pic>
      <xdr:nvPicPr>
        <xdr:cNvPr id="1026" name="Picture 2" descr="ФХД от 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17200" y="2044700"/>
          <a:ext cx="7562850" cy="10693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1282700</xdr:colOff>
      <xdr:row>34</xdr:row>
      <xdr:rowOff>88900</xdr:rowOff>
    </xdr:to>
    <xdr:pic>
      <xdr:nvPicPr>
        <xdr:cNvPr id="1027" name="Picture 3" descr="ФХД от 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562850" cy="106934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431800</xdr:colOff>
      <xdr:row>56</xdr:row>
      <xdr:rowOff>152400</xdr:rowOff>
    </xdr:to>
    <xdr:pic>
      <xdr:nvPicPr>
        <xdr:cNvPr id="6145" name="Picture 1" descr="ФХД от 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702550" cy="107886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consultantplus://offline/ref=160D23074E6765C55EF84811A89119E895463C6394CC40BB38A7EE3CC53AJ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consultantplus://offline/ref=160D23074E6765C55EF84811A89119E895463C6394CC40BB38A7EE3CC53AJ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7"/>
  <sheetViews>
    <sheetView workbookViewId="0">
      <selection activeCell="A5" sqref="A5"/>
    </sheetView>
  </sheetViews>
  <sheetFormatPr defaultRowHeight="14.5"/>
  <cols>
    <col min="1" max="1" width="36.81640625" customWidth="1"/>
    <col min="2" max="2" width="41.81640625" customWidth="1"/>
    <col min="3" max="3" width="11.26953125" customWidth="1"/>
    <col min="4" max="4" width="18.453125" customWidth="1"/>
  </cols>
  <sheetData>
    <row r="1" spans="1:4">
      <c r="A1" s="229" t="s">
        <v>607</v>
      </c>
      <c r="B1" s="229"/>
      <c r="C1" s="229"/>
      <c r="D1" s="229"/>
    </row>
    <row r="2" spans="1:4">
      <c r="A2" s="229" t="s">
        <v>703</v>
      </c>
      <c r="B2" s="229"/>
      <c r="C2" s="229"/>
      <c r="D2" s="229"/>
    </row>
    <row r="3" spans="1:4">
      <c r="A3" s="229" t="s">
        <v>702</v>
      </c>
      <c r="B3" s="229"/>
      <c r="C3" s="229"/>
      <c r="D3" s="229"/>
    </row>
    <row r="4" spans="1:4">
      <c r="A4" s="229" t="s">
        <v>701</v>
      </c>
      <c r="B4" s="229"/>
      <c r="C4" s="229"/>
      <c r="D4" s="229"/>
    </row>
    <row r="5" spans="1:4" ht="25.15" customHeight="1"/>
    <row r="6" spans="1:4" ht="15.5">
      <c r="A6" s="228" t="s">
        <v>606</v>
      </c>
      <c r="B6" s="228"/>
      <c r="C6" s="228"/>
      <c r="D6" s="228"/>
    </row>
    <row r="7" spans="1:4" ht="16.149999999999999" customHeight="1">
      <c r="A7" s="233" t="s">
        <v>684</v>
      </c>
      <c r="B7" s="233"/>
      <c r="C7" s="233"/>
      <c r="D7" s="233"/>
    </row>
    <row r="8" spans="1:4" ht="14.15" customHeight="1">
      <c r="A8" s="229" t="s">
        <v>605</v>
      </c>
      <c r="B8" s="229"/>
      <c r="C8" s="229"/>
      <c r="D8" s="229"/>
    </row>
    <row r="9" spans="1:4" ht="14.15" customHeight="1">
      <c r="A9" s="229" t="s">
        <v>604</v>
      </c>
      <c r="B9" s="229"/>
      <c r="C9" s="229"/>
      <c r="D9" s="229"/>
    </row>
    <row r="10" spans="1:4" ht="18.649999999999999" customHeight="1">
      <c r="A10" s="233" t="s">
        <v>700</v>
      </c>
      <c r="B10" s="233"/>
      <c r="C10" s="233"/>
      <c r="D10" s="233"/>
    </row>
    <row r="11" spans="1:4" ht="14.15" customHeight="1">
      <c r="A11" s="229" t="s">
        <v>603</v>
      </c>
      <c r="B11" s="229"/>
      <c r="C11" s="229"/>
      <c r="D11" s="229"/>
    </row>
    <row r="12" spans="1:4" ht="19.149999999999999" customHeight="1">
      <c r="A12" s="230" t="s">
        <v>704</v>
      </c>
      <c r="B12" s="230"/>
      <c r="C12" s="230"/>
      <c r="D12" s="230"/>
    </row>
    <row r="13" spans="1:4" ht="14.15" customHeight="1"/>
    <row r="14" spans="1:4" ht="20.25" customHeight="1">
      <c r="A14" s="228" t="s">
        <v>602</v>
      </c>
      <c r="B14" s="228"/>
      <c r="C14" s="228"/>
      <c r="D14" s="228"/>
    </row>
    <row r="15" spans="1:4" ht="20.25" customHeight="1">
      <c r="A15" s="227" t="s">
        <v>734</v>
      </c>
      <c r="B15" s="227"/>
      <c r="C15" s="227"/>
      <c r="D15" s="227"/>
    </row>
    <row r="16" spans="1:4" ht="20.25" customHeight="1">
      <c r="A16" s="227" t="s">
        <v>735</v>
      </c>
      <c r="B16" s="227"/>
      <c r="C16" s="227"/>
      <c r="D16" s="227"/>
    </row>
    <row r="17" spans="1:4" ht="20.25" customHeight="1">
      <c r="A17" s="228" t="s">
        <v>685</v>
      </c>
      <c r="B17" s="228"/>
      <c r="C17" s="228"/>
      <c r="D17" s="228"/>
    </row>
    <row r="18" spans="1:4" ht="14.15" customHeight="1"/>
    <row r="19" spans="1:4" ht="18" customHeight="1">
      <c r="A19" s="36"/>
      <c r="B19" s="36"/>
      <c r="C19" s="36"/>
      <c r="D19" s="38" t="s">
        <v>601</v>
      </c>
    </row>
    <row r="20" spans="1:4" ht="18" customHeight="1">
      <c r="B20" s="55" t="s">
        <v>212</v>
      </c>
      <c r="C20" s="61" t="s">
        <v>608</v>
      </c>
      <c r="D20" s="54" t="s">
        <v>213</v>
      </c>
    </row>
    <row r="21" spans="1:4" ht="29.5" customHeight="1">
      <c r="A21" s="37"/>
      <c r="B21" s="231" t="s">
        <v>611</v>
      </c>
      <c r="C21" s="232"/>
      <c r="D21" s="54" t="s">
        <v>222</v>
      </c>
    </row>
    <row r="22" spans="1:4" ht="82.5" customHeight="1">
      <c r="A22" s="49" t="s">
        <v>679</v>
      </c>
      <c r="B22" s="225" t="s">
        <v>716</v>
      </c>
      <c r="C22" s="226"/>
      <c r="D22" s="56"/>
    </row>
    <row r="23" spans="1:4" ht="26.25" customHeight="1">
      <c r="A23" s="49" t="s">
        <v>680</v>
      </c>
      <c r="B23" s="53" t="s">
        <v>718</v>
      </c>
      <c r="C23" s="62"/>
      <c r="D23" s="56"/>
    </row>
    <row r="24" spans="1:4" ht="88.5" customHeight="1">
      <c r="A24" s="22" t="s">
        <v>681</v>
      </c>
      <c r="B24" s="51"/>
      <c r="C24" s="62"/>
      <c r="D24" s="56"/>
    </row>
    <row r="25" spans="1:4" ht="24.75" customHeight="1">
      <c r="A25" s="49" t="s">
        <v>610</v>
      </c>
      <c r="B25" s="49"/>
      <c r="C25" s="63" t="s">
        <v>609</v>
      </c>
      <c r="D25" s="56">
        <v>383</v>
      </c>
    </row>
    <row r="26" spans="1:4" ht="62">
      <c r="A26" s="49" t="s">
        <v>682</v>
      </c>
      <c r="B26" s="50" t="s">
        <v>722</v>
      </c>
      <c r="C26" s="62"/>
      <c r="D26" s="56"/>
    </row>
    <row r="27" spans="1:4" ht="82.5" customHeight="1">
      <c r="A27" s="52" t="s">
        <v>683</v>
      </c>
      <c r="B27" s="50" t="s">
        <v>717</v>
      </c>
      <c r="C27" s="62"/>
      <c r="D27" s="38"/>
    </row>
  </sheetData>
  <mergeCells count="17">
    <mergeCell ref="A8:D8"/>
    <mergeCell ref="A9:D9"/>
    <mergeCell ref="A10:D10"/>
    <mergeCell ref="A1:D1"/>
    <mergeCell ref="A2:D2"/>
    <mergeCell ref="A3:D3"/>
    <mergeCell ref="A4:D4"/>
    <mergeCell ref="B22:C22"/>
    <mergeCell ref="A16:D16"/>
    <mergeCell ref="A17:D17"/>
    <mergeCell ref="A6:D6"/>
    <mergeCell ref="A11:D11"/>
    <mergeCell ref="A12:D12"/>
    <mergeCell ref="B21:C21"/>
    <mergeCell ref="A15:D15"/>
    <mergeCell ref="A14:D14"/>
    <mergeCell ref="A7:D7"/>
  </mergeCells>
  <phoneticPr fontId="0" type="noConversion"/>
  <pageMargins left="0.98425196850393704" right="0.59055118110236227" top="0.59055118110236227" bottom="0.59055118110236227" header="0.19685039370078741" footer="0.19685039370078741"/>
  <pageSetup paperSize="9" scale="75" orientation="portrait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40"/>
  <sheetViews>
    <sheetView topLeftCell="A10" zoomScaleNormal="100" workbookViewId="0">
      <selection activeCell="F24" sqref="F24:F25"/>
    </sheetView>
  </sheetViews>
  <sheetFormatPr defaultColWidth="9.1796875" defaultRowHeight="14.5"/>
  <cols>
    <col min="1" max="1" width="4.7265625" style="70" customWidth="1"/>
    <col min="2" max="3" width="17.7265625" style="70" customWidth="1"/>
    <col min="4" max="4" width="16" style="70" customWidth="1"/>
    <col min="5" max="5" width="16.54296875" style="70" customWidth="1"/>
    <col min="6" max="6" width="17.7265625" style="70" customWidth="1"/>
    <col min="7" max="7" width="12.1796875" style="70" bestFit="1" customWidth="1"/>
    <col min="8" max="8" width="11.453125" style="70" bestFit="1" customWidth="1"/>
    <col min="9" max="16384" width="9.1796875" style="70"/>
  </cols>
  <sheetData>
    <row r="1" spans="1:6" ht="15" hidden="1" customHeight="1">
      <c r="A1" s="273" t="s">
        <v>520</v>
      </c>
      <c r="B1" s="273"/>
      <c r="C1" s="273"/>
      <c r="D1" s="273"/>
      <c r="E1" s="273"/>
      <c r="F1" s="273"/>
    </row>
    <row r="2" spans="1:6" ht="15" hidden="1" customHeight="1">
      <c r="A2" s="273" t="s">
        <v>521</v>
      </c>
      <c r="B2" s="273"/>
      <c r="C2" s="273"/>
      <c r="D2" s="273"/>
      <c r="E2" s="273"/>
      <c r="F2" s="273"/>
    </row>
    <row r="3" spans="1:6" ht="7.5" hidden="1" customHeight="1">
      <c r="A3" s="92"/>
      <c r="B3" s="92"/>
      <c r="C3" s="92"/>
      <c r="D3" s="92"/>
      <c r="E3" s="92"/>
      <c r="F3" s="92"/>
    </row>
    <row r="4" spans="1:6" ht="56" hidden="1">
      <c r="A4" s="142" t="s">
        <v>485</v>
      </c>
      <c r="B4" s="142" t="s">
        <v>497</v>
      </c>
      <c r="C4" s="142" t="s">
        <v>517</v>
      </c>
      <c r="D4" s="142" t="s">
        <v>518</v>
      </c>
      <c r="E4" s="142" t="s">
        <v>519</v>
      </c>
      <c r="F4" s="142" t="s">
        <v>501</v>
      </c>
    </row>
    <row r="5" spans="1:6" ht="15" hidden="1" customHeight="1">
      <c r="A5" s="142">
        <v>1</v>
      </c>
      <c r="B5" s="142">
        <v>2</v>
      </c>
      <c r="C5" s="142">
        <v>3</v>
      </c>
      <c r="D5" s="142">
        <v>4</v>
      </c>
      <c r="E5" s="142">
        <v>5</v>
      </c>
      <c r="F5" s="142">
        <v>6</v>
      </c>
    </row>
    <row r="6" spans="1:6" hidden="1">
      <c r="A6" s="142"/>
      <c r="B6" s="142"/>
      <c r="C6" s="142"/>
      <c r="D6" s="142"/>
      <c r="E6" s="142"/>
      <c r="F6" s="142"/>
    </row>
    <row r="7" spans="1:6" hidden="1">
      <c r="A7" s="142"/>
      <c r="B7" s="142"/>
      <c r="C7" s="142"/>
      <c r="D7" s="142"/>
      <c r="E7" s="142"/>
      <c r="F7" s="142"/>
    </row>
    <row r="8" spans="1:6" hidden="1">
      <c r="A8" s="142"/>
      <c r="B8" s="142" t="s">
        <v>493</v>
      </c>
      <c r="C8" s="142" t="s">
        <v>494</v>
      </c>
      <c r="D8" s="142" t="s">
        <v>494</v>
      </c>
      <c r="E8" s="142" t="s">
        <v>494</v>
      </c>
      <c r="F8" s="142"/>
    </row>
    <row r="9" spans="1:6" ht="8.25" hidden="1" customHeight="1">
      <c r="A9" s="92"/>
      <c r="B9" s="92"/>
      <c r="C9" s="92"/>
      <c r="D9" s="92"/>
      <c r="E9" s="92"/>
      <c r="F9" s="92"/>
    </row>
    <row r="10" spans="1:6" ht="27.75" customHeight="1">
      <c r="A10" s="278" t="s">
        <v>136</v>
      </c>
      <c r="B10" s="279"/>
      <c r="C10" s="279"/>
      <c r="D10" s="279"/>
      <c r="E10" s="279"/>
      <c r="F10" s="279"/>
    </row>
    <row r="11" spans="1:6" ht="15" customHeight="1">
      <c r="A11" s="273" t="s">
        <v>522</v>
      </c>
      <c r="B11" s="273"/>
      <c r="C11" s="273"/>
      <c r="D11" s="273"/>
      <c r="E11" s="273"/>
      <c r="F11" s="273"/>
    </row>
    <row r="12" spans="1:6" ht="15.5">
      <c r="A12" s="273" t="s">
        <v>523</v>
      </c>
      <c r="B12" s="273"/>
      <c r="C12" s="273"/>
      <c r="D12" s="273"/>
      <c r="E12" s="273"/>
      <c r="F12" s="273"/>
    </row>
    <row r="13" spans="1:6" ht="15.5">
      <c r="A13" s="273" t="s">
        <v>524</v>
      </c>
      <c r="B13" s="273"/>
      <c r="C13" s="273"/>
      <c r="D13" s="273"/>
      <c r="E13" s="273"/>
      <c r="F13" s="273"/>
    </row>
    <row r="14" spans="1:6" ht="15.5">
      <c r="A14" s="273" t="s">
        <v>525</v>
      </c>
      <c r="B14" s="273"/>
      <c r="C14" s="273"/>
      <c r="D14" s="273"/>
      <c r="E14" s="273"/>
      <c r="F14" s="273"/>
    </row>
    <row r="15" spans="1:6" ht="15.5">
      <c r="A15" s="277" t="s">
        <v>750</v>
      </c>
      <c r="B15" s="277"/>
      <c r="C15" s="277"/>
      <c r="D15" s="277"/>
      <c r="E15" s="277"/>
      <c r="F15" s="277"/>
    </row>
    <row r="16" spans="1:6" ht="60" customHeight="1">
      <c r="A16" s="142" t="s">
        <v>485</v>
      </c>
      <c r="B16" s="261" t="s">
        <v>526</v>
      </c>
      <c r="C16" s="261"/>
      <c r="D16" s="261"/>
      <c r="E16" s="142" t="s">
        <v>527</v>
      </c>
      <c r="F16" s="142" t="s">
        <v>528</v>
      </c>
    </row>
    <row r="17" spans="1:8">
      <c r="A17" s="142">
        <v>1</v>
      </c>
      <c r="B17" s="261">
        <v>2</v>
      </c>
      <c r="C17" s="261"/>
      <c r="D17" s="261"/>
      <c r="E17" s="142">
        <v>3</v>
      </c>
      <c r="F17" s="142">
        <v>4</v>
      </c>
    </row>
    <row r="18" spans="1:8" ht="27" customHeight="1">
      <c r="A18" s="142">
        <v>1</v>
      </c>
      <c r="B18" s="274" t="s">
        <v>529</v>
      </c>
      <c r="C18" s="275"/>
      <c r="D18" s="276"/>
      <c r="E18" s="142" t="s">
        <v>494</v>
      </c>
      <c r="F18" s="148">
        <f>F19+F21+F22</f>
        <v>5352040</v>
      </c>
    </row>
    <row r="19" spans="1:8" s="93" customFormat="1" ht="12" customHeight="1">
      <c r="A19" s="280" t="s">
        <v>530</v>
      </c>
      <c r="B19" s="282" t="s">
        <v>545</v>
      </c>
      <c r="C19" s="283"/>
      <c r="D19" s="284"/>
      <c r="E19" s="288">
        <f ca="1">'расч. 211(2000,2002)2017'!J33</f>
        <v>24327300</v>
      </c>
      <c r="F19" s="288">
        <f>CEILING(E19*22%,10)+30</f>
        <v>5352040</v>
      </c>
    </row>
    <row r="20" spans="1:8" s="93" customFormat="1" ht="15" customHeight="1">
      <c r="A20" s="281"/>
      <c r="B20" s="285"/>
      <c r="C20" s="286"/>
      <c r="D20" s="287"/>
      <c r="E20" s="289"/>
      <c r="F20" s="289"/>
    </row>
    <row r="21" spans="1:8" ht="15" customHeight="1">
      <c r="A21" s="142" t="s">
        <v>531</v>
      </c>
      <c r="B21" s="290" t="s">
        <v>532</v>
      </c>
      <c r="C21" s="290"/>
      <c r="D21" s="290"/>
      <c r="E21" s="142"/>
      <c r="F21" s="142">
        <f>ROUND(E21*10%,2)</f>
        <v>0</v>
      </c>
    </row>
    <row r="22" spans="1:8" ht="43.5" customHeight="1">
      <c r="A22" s="142" t="s">
        <v>533</v>
      </c>
      <c r="B22" s="290" t="s">
        <v>534</v>
      </c>
      <c r="C22" s="290"/>
      <c r="D22" s="290"/>
      <c r="E22" s="142"/>
      <c r="F22" s="142"/>
    </row>
    <row r="23" spans="1:8" ht="30.75" customHeight="1">
      <c r="A23" s="142">
        <v>2</v>
      </c>
      <c r="B23" s="274" t="s">
        <v>535</v>
      </c>
      <c r="C23" s="275"/>
      <c r="D23" s="276"/>
      <c r="E23" s="142" t="s">
        <v>494</v>
      </c>
      <c r="F23" s="148">
        <f>F24+F26+F27+F28+F29</f>
        <v>754160</v>
      </c>
    </row>
    <row r="24" spans="1:8" ht="12.75" customHeight="1">
      <c r="A24" s="261" t="s">
        <v>536</v>
      </c>
      <c r="B24" s="291" t="s">
        <v>546</v>
      </c>
      <c r="C24" s="292"/>
      <c r="D24" s="293"/>
      <c r="E24" s="288">
        <f>E19</f>
        <v>24327300</v>
      </c>
      <c r="F24" s="288">
        <f>CEILING(E24*2.9%,10)</f>
        <v>705500</v>
      </c>
    </row>
    <row r="25" spans="1:8" ht="44.25" customHeight="1">
      <c r="A25" s="261"/>
      <c r="B25" s="294"/>
      <c r="C25" s="295"/>
      <c r="D25" s="296"/>
      <c r="E25" s="281"/>
      <c r="F25" s="289"/>
    </row>
    <row r="26" spans="1:8" ht="35.15" customHeight="1">
      <c r="A26" s="142" t="s">
        <v>537</v>
      </c>
      <c r="B26" s="290" t="s">
        <v>538</v>
      </c>
      <c r="C26" s="290"/>
      <c r="D26" s="290"/>
      <c r="E26" s="142"/>
      <c r="F26" s="148">
        <f>ROUND(E26*0%,2)</f>
        <v>0</v>
      </c>
    </row>
    <row r="27" spans="1:8" ht="42" customHeight="1">
      <c r="A27" s="142" t="s">
        <v>539</v>
      </c>
      <c r="B27" s="290" t="s">
        <v>540</v>
      </c>
      <c r="C27" s="290"/>
      <c r="D27" s="290"/>
      <c r="E27" s="148">
        <f>E24</f>
        <v>24327300</v>
      </c>
      <c r="F27" s="148">
        <f>CEILING(E27*0.2%,10)</f>
        <v>48660</v>
      </c>
    </row>
    <row r="28" spans="1:8" ht="42.75" customHeight="1">
      <c r="A28" s="142" t="s">
        <v>541</v>
      </c>
      <c r="B28" s="290" t="s">
        <v>542</v>
      </c>
      <c r="C28" s="290"/>
      <c r="D28" s="290"/>
      <c r="E28" s="142"/>
      <c r="F28" s="148"/>
    </row>
    <row r="29" spans="1:8" ht="41.25" customHeight="1">
      <c r="A29" s="142" t="s">
        <v>543</v>
      </c>
      <c r="B29" s="290" t="s">
        <v>542</v>
      </c>
      <c r="C29" s="290"/>
      <c r="D29" s="290"/>
      <c r="E29" s="142"/>
      <c r="F29" s="148"/>
    </row>
    <row r="30" spans="1:8" ht="27.75" customHeight="1">
      <c r="A30" s="142">
        <v>3</v>
      </c>
      <c r="B30" s="290" t="s">
        <v>544</v>
      </c>
      <c r="C30" s="290"/>
      <c r="D30" s="290"/>
      <c r="E30" s="148">
        <f>E27</f>
        <v>24327300</v>
      </c>
      <c r="F30" s="148">
        <f>CEILING(E30*5.1%,10)</f>
        <v>1240700</v>
      </c>
    </row>
    <row r="31" spans="1:8" ht="15" customHeight="1">
      <c r="A31" s="142"/>
      <c r="B31" s="290" t="s">
        <v>493</v>
      </c>
      <c r="C31" s="290"/>
      <c r="D31" s="290"/>
      <c r="E31" s="142" t="s">
        <v>494</v>
      </c>
      <c r="F31" s="148">
        <f>F23+F18+F30</f>
        <v>7346900</v>
      </c>
      <c r="G31" s="94">
        <f ca="1">F31-'р.3 2017'!D69</f>
        <v>79000</v>
      </c>
      <c r="H31" s="94">
        <f ca="1">'р.3 2017'!D69</f>
        <v>7267900</v>
      </c>
    </row>
    <row r="32" spans="1:8" ht="6.75" customHeight="1">
      <c r="A32" s="92"/>
      <c r="B32" s="92"/>
      <c r="C32" s="92"/>
      <c r="D32" s="92"/>
      <c r="E32" s="92"/>
      <c r="F32" s="92"/>
    </row>
    <row r="33" spans="1:6" ht="10.5" customHeight="1">
      <c r="A33" s="92" t="s">
        <v>547</v>
      </c>
      <c r="B33" s="92"/>
      <c r="C33" s="92"/>
      <c r="D33" s="92"/>
      <c r="E33" s="92"/>
      <c r="F33" s="92"/>
    </row>
    <row r="34" spans="1:6" ht="15" customHeight="1">
      <c r="A34" s="92" t="s">
        <v>548</v>
      </c>
      <c r="B34" s="92"/>
      <c r="C34" s="92"/>
      <c r="D34" s="92"/>
      <c r="E34" s="92"/>
      <c r="F34" s="92"/>
    </row>
    <row r="35" spans="1:6" ht="15" customHeight="1">
      <c r="A35" s="92" t="s">
        <v>549</v>
      </c>
      <c r="B35" s="92"/>
      <c r="C35" s="92"/>
      <c r="D35" s="92"/>
      <c r="E35" s="92"/>
      <c r="F35" s="92"/>
    </row>
    <row r="36" spans="1:6" ht="15" customHeight="1">
      <c r="A36" s="92" t="s">
        <v>550</v>
      </c>
      <c r="B36" s="92"/>
      <c r="C36" s="92"/>
      <c r="D36" s="92"/>
      <c r="E36" s="92"/>
      <c r="F36" s="92"/>
    </row>
    <row r="37" spans="1:6" ht="15" customHeight="1">
      <c r="A37" s="92" t="s">
        <v>551</v>
      </c>
      <c r="B37" s="92"/>
      <c r="C37" s="92"/>
      <c r="D37" s="92"/>
      <c r="E37" s="92"/>
      <c r="F37" s="92"/>
    </row>
    <row r="38" spans="1:6" ht="15" customHeight="1">
      <c r="A38" s="92" t="s">
        <v>552</v>
      </c>
      <c r="B38" s="92"/>
      <c r="C38" s="92"/>
      <c r="D38" s="92"/>
      <c r="E38" s="92"/>
      <c r="F38" s="92"/>
    </row>
    <row r="39" spans="1:6" ht="15" customHeight="1">
      <c r="A39" s="92" t="s">
        <v>553</v>
      </c>
      <c r="B39" s="92"/>
      <c r="C39" s="92"/>
      <c r="D39" s="92"/>
      <c r="E39" s="92"/>
      <c r="F39" s="92"/>
    </row>
    <row r="40" spans="1:6" ht="15" customHeight="1"/>
  </sheetData>
  <mergeCells count="28">
    <mergeCell ref="F24:F25"/>
    <mergeCell ref="B26:D26"/>
    <mergeCell ref="B27:D27"/>
    <mergeCell ref="B28:D28"/>
    <mergeCell ref="B29:D29"/>
    <mergeCell ref="B30:D30"/>
    <mergeCell ref="E24:E25"/>
    <mergeCell ref="B21:D21"/>
    <mergeCell ref="B22:D22"/>
    <mergeCell ref="B23:D23"/>
    <mergeCell ref="A24:A25"/>
    <mergeCell ref="B24:D25"/>
    <mergeCell ref="B31:D31"/>
    <mergeCell ref="A1:F1"/>
    <mergeCell ref="A2:F2"/>
    <mergeCell ref="A10:F10"/>
    <mergeCell ref="A11:F11"/>
    <mergeCell ref="A19:A20"/>
    <mergeCell ref="B19:D20"/>
    <mergeCell ref="E19:E20"/>
    <mergeCell ref="F19:F20"/>
    <mergeCell ref="B16:D16"/>
    <mergeCell ref="B17:D17"/>
    <mergeCell ref="B18:D18"/>
    <mergeCell ref="A12:F12"/>
    <mergeCell ref="A13:F13"/>
    <mergeCell ref="A14:F14"/>
    <mergeCell ref="A15:F15"/>
  </mergeCells>
  <phoneticPr fontId="0" type="noConversion"/>
  <hyperlinks>
    <hyperlink ref="B28" location="P1250" display="P1250"/>
    <hyperlink ref="B29" location="P1250" display="P1250"/>
    <hyperlink ref="A35" r:id="rId1" display="consultantplus://offline/ref=160D23074E6765C55EF84811A89119E895463C6394CC40BB38A7EE3CC53AJ"/>
  </hyperlinks>
  <pageMargins left="1.0629921259842521" right="0.47244094488188981" top="0.39370078740157483" bottom="0.39370078740157483" header="0.19685039370078741" footer="0.19685039370078741"/>
  <pageSetup paperSize="9" scale="75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22"/>
  <sheetViews>
    <sheetView workbookViewId="0">
      <selection activeCell="A21" sqref="A1:E21"/>
    </sheetView>
  </sheetViews>
  <sheetFormatPr defaultRowHeight="14.5"/>
  <cols>
    <col min="2" max="2" width="22.453125" customWidth="1"/>
    <col min="4" max="4" width="21.26953125" customWidth="1"/>
    <col min="5" max="5" width="24.7265625" style="121" customWidth="1"/>
    <col min="6" max="6" width="13.54296875" customWidth="1"/>
    <col min="7" max="7" width="11" customWidth="1"/>
  </cols>
  <sheetData>
    <row r="1" spans="1:10" ht="15.5">
      <c r="A1" s="301" t="s">
        <v>134</v>
      </c>
      <c r="B1" s="301"/>
      <c r="C1" s="301"/>
      <c r="D1" s="301"/>
      <c r="E1" s="301"/>
    </row>
    <row r="2" spans="1:10" ht="42.75" customHeight="1">
      <c r="A2" s="300" t="s">
        <v>22</v>
      </c>
      <c r="B2" s="300"/>
      <c r="C2" s="300"/>
      <c r="D2" s="300"/>
      <c r="E2" s="300"/>
      <c r="F2" s="91"/>
      <c r="G2" s="91"/>
      <c r="H2" s="91"/>
      <c r="I2" s="91"/>
      <c r="J2" s="91"/>
    </row>
    <row r="3" spans="1:10" ht="15.5">
      <c r="A3" s="103" t="s">
        <v>11</v>
      </c>
      <c r="B3" s="104"/>
      <c r="C3" s="297" t="s">
        <v>42</v>
      </c>
      <c r="D3" s="297" t="s">
        <v>12</v>
      </c>
      <c r="E3" s="115"/>
    </row>
    <row r="4" spans="1:10" ht="15.5">
      <c r="A4" s="105" t="s">
        <v>13</v>
      </c>
      <c r="B4" s="105" t="s">
        <v>14</v>
      </c>
      <c r="C4" s="298"/>
      <c r="D4" s="298"/>
      <c r="E4" s="118" t="s">
        <v>650</v>
      </c>
    </row>
    <row r="5" spans="1:10" ht="44.25" customHeight="1">
      <c r="A5" s="106" t="s">
        <v>15</v>
      </c>
      <c r="B5" s="107"/>
      <c r="C5" s="299"/>
      <c r="D5" s="299"/>
      <c r="E5" s="116" t="s">
        <v>16</v>
      </c>
    </row>
    <row r="6" spans="1:10" ht="15.5">
      <c r="A6" s="108">
        <v>1</v>
      </c>
      <c r="B6" s="109">
        <v>2</v>
      </c>
      <c r="C6" s="108">
        <v>3</v>
      </c>
      <c r="D6" s="108">
        <v>4</v>
      </c>
      <c r="E6" s="117">
        <v>5</v>
      </c>
    </row>
    <row r="7" spans="1:10" s="70" customFormat="1" ht="15.5">
      <c r="A7" s="106">
        <v>1</v>
      </c>
      <c r="B7" s="110" t="s">
        <v>17</v>
      </c>
      <c r="C7" s="111">
        <v>1</v>
      </c>
      <c r="D7" s="112" t="s">
        <v>43</v>
      </c>
      <c r="E7" s="119">
        <f>65000-11319.18</f>
        <v>53680.82</v>
      </c>
    </row>
    <row r="8" spans="1:10" s="70" customFormat="1" ht="15.5">
      <c r="A8" s="106">
        <v>2</v>
      </c>
      <c r="B8" s="110" t="s">
        <v>44</v>
      </c>
      <c r="C8" s="111"/>
      <c r="D8" s="112" t="s">
        <v>47</v>
      </c>
      <c r="E8" s="119">
        <v>20000</v>
      </c>
    </row>
    <row r="9" spans="1:10" s="70" customFormat="1" ht="15.5">
      <c r="A9" s="106">
        <v>3</v>
      </c>
      <c r="B9" s="110" t="s">
        <v>45</v>
      </c>
      <c r="C9" s="111"/>
      <c r="D9" s="112" t="s">
        <v>46</v>
      </c>
      <c r="E9" s="119">
        <v>45000</v>
      </c>
    </row>
    <row r="10" spans="1:10" s="70" customFormat="1" ht="15.5">
      <c r="A10" s="106">
        <v>4</v>
      </c>
      <c r="B10" s="110" t="s">
        <v>48</v>
      </c>
      <c r="C10" s="111">
        <v>1</v>
      </c>
      <c r="D10" s="112" t="s">
        <v>49</v>
      </c>
      <c r="E10" s="119">
        <v>55000</v>
      </c>
    </row>
    <row r="11" spans="1:10" s="70" customFormat="1" ht="15.5">
      <c r="A11" s="106">
        <v>5</v>
      </c>
      <c r="B11" s="110" t="s">
        <v>18</v>
      </c>
      <c r="C11" s="111"/>
      <c r="D11" s="112" t="s">
        <v>52</v>
      </c>
      <c r="E11" s="119">
        <v>40000</v>
      </c>
      <c r="H11" s="70" t="s">
        <v>154</v>
      </c>
    </row>
    <row r="12" spans="1:10" s="70" customFormat="1" ht="15.5">
      <c r="A12" s="106">
        <v>6</v>
      </c>
      <c r="B12" s="110" t="s">
        <v>53</v>
      </c>
      <c r="C12" s="111"/>
      <c r="D12" s="112" t="s">
        <v>54</v>
      </c>
      <c r="E12" s="119">
        <v>40000</v>
      </c>
    </row>
    <row r="13" spans="1:10" s="70" customFormat="1" ht="15.5">
      <c r="A13" s="106">
        <v>7</v>
      </c>
      <c r="B13" s="110" t="s">
        <v>50</v>
      </c>
      <c r="C13" s="111"/>
      <c r="D13" s="112" t="s">
        <v>51</v>
      </c>
      <c r="E13" s="119">
        <v>12400</v>
      </c>
    </row>
    <row r="14" spans="1:10" s="70" customFormat="1" ht="15.5">
      <c r="A14" s="106">
        <v>8</v>
      </c>
      <c r="B14" s="110" t="s">
        <v>55</v>
      </c>
      <c r="C14" s="111">
        <v>2</v>
      </c>
      <c r="D14" s="112" t="s">
        <v>56</v>
      </c>
      <c r="E14" s="119">
        <v>60000</v>
      </c>
    </row>
    <row r="15" spans="1:10" s="70" customFormat="1" ht="15.5">
      <c r="A15" s="106">
        <v>9</v>
      </c>
      <c r="B15" s="110" t="s">
        <v>57</v>
      </c>
      <c r="C15" s="111"/>
      <c r="D15" s="112" t="s">
        <v>58</v>
      </c>
      <c r="E15" s="119">
        <v>15000</v>
      </c>
    </row>
    <row r="16" spans="1:10" s="70" customFormat="1" ht="15.5">
      <c r="A16" s="106">
        <v>10</v>
      </c>
      <c r="B16" s="110" t="s">
        <v>19</v>
      </c>
      <c r="C16" s="111">
        <v>1</v>
      </c>
      <c r="D16" s="112" t="s">
        <v>59</v>
      </c>
      <c r="E16" s="119">
        <v>60000</v>
      </c>
    </row>
    <row r="17" spans="1:7" s="70" customFormat="1" ht="15.5">
      <c r="A17" s="106">
        <v>11</v>
      </c>
      <c r="B17" s="110" t="s">
        <v>60</v>
      </c>
      <c r="C17" s="111"/>
      <c r="D17" s="112" t="s">
        <v>61</v>
      </c>
      <c r="E17" s="119">
        <v>30000</v>
      </c>
    </row>
    <row r="18" spans="1:7" s="70" customFormat="1" ht="15.5" hidden="1">
      <c r="A18" s="106"/>
      <c r="B18" s="110"/>
      <c r="C18" s="111"/>
      <c r="D18" s="112"/>
      <c r="E18" s="119"/>
    </row>
    <row r="19" spans="1:7" s="70" customFormat="1" ht="15.5">
      <c r="A19" s="106">
        <f>A17+1</f>
        <v>12</v>
      </c>
      <c r="B19" s="110" t="s">
        <v>20</v>
      </c>
      <c r="C19" s="111"/>
      <c r="D19" s="112" t="s">
        <v>62</v>
      </c>
      <c r="E19" s="119">
        <v>35000</v>
      </c>
    </row>
    <row r="20" spans="1:7" s="70" customFormat="1" ht="15.5">
      <c r="A20" s="106">
        <f>A19+1</f>
        <v>13</v>
      </c>
      <c r="B20" s="110" t="s">
        <v>63</v>
      </c>
      <c r="C20" s="111"/>
      <c r="D20" s="112" t="s">
        <v>59</v>
      </c>
      <c r="E20" s="119">
        <v>35000</v>
      </c>
    </row>
    <row r="21" spans="1:7" ht="15.5">
      <c r="A21" s="107"/>
      <c r="B21" s="113" t="s">
        <v>21</v>
      </c>
      <c r="C21" s="107"/>
      <c r="D21" s="114"/>
      <c r="E21" s="122">
        <f>SUM(E7:E20)</f>
        <v>501080.82</v>
      </c>
      <c r="F21">
        <f ca="1">'р.3 2017'!D60</f>
        <v>508442.95</v>
      </c>
      <c r="G21" s="126">
        <f>E21-F21</f>
        <v>-7362.1300000000047</v>
      </c>
    </row>
    <row r="22" spans="1:7" ht="15.5">
      <c r="A22" s="102"/>
      <c r="B22" s="102"/>
      <c r="C22" s="102"/>
      <c r="D22" s="102"/>
      <c r="E22" s="120">
        <v>300000</v>
      </c>
    </row>
  </sheetData>
  <mergeCells count="4">
    <mergeCell ref="C3:C5"/>
    <mergeCell ref="D3:D5"/>
    <mergeCell ref="A2:E2"/>
    <mergeCell ref="A1:E1"/>
  </mergeCells>
  <phoneticPr fontId="0" type="noConversion"/>
  <pageMargins left="0.9055118110236221" right="0.70866141732283472" top="0.35433070866141736" bottom="0.74803149606299213" header="0.31496062992125984" footer="0.31496062992125984"/>
  <pageSetup paperSize="9" scale="75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44"/>
  <sheetViews>
    <sheetView zoomScale="98" zoomScaleNormal="98" workbookViewId="0">
      <selection sqref="A1:IV65536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28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13.26953125" style="70" bestFit="1" customWidth="1"/>
    <col min="12" max="12" width="11.7265625" style="70" customWidth="1"/>
    <col min="13" max="16384" width="9.1796875" style="70"/>
  </cols>
  <sheetData>
    <row r="1" spans="1:10" ht="15.5">
      <c r="A1" s="305" t="s">
        <v>134</v>
      </c>
      <c r="B1" s="305"/>
      <c r="C1" s="305"/>
      <c r="D1" s="305"/>
      <c r="E1" s="305"/>
      <c r="F1" s="305"/>
      <c r="G1" s="305"/>
      <c r="H1" s="305"/>
      <c r="I1" s="305"/>
      <c r="J1" s="305"/>
    </row>
    <row r="2" spans="1:10" ht="53.25" customHeight="1">
      <c r="A2" s="270" t="s">
        <v>64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0" ht="15.5">
      <c r="A3" s="273" t="s">
        <v>23</v>
      </c>
      <c r="B3" s="273"/>
      <c r="C3" s="273"/>
      <c r="D3" s="273"/>
      <c r="E3" s="273"/>
      <c r="F3" s="273"/>
      <c r="G3" s="273"/>
      <c r="H3" s="273"/>
      <c r="I3" s="273"/>
      <c r="J3" s="273"/>
    </row>
    <row r="4" spans="1:10" ht="77.25" customHeight="1">
      <c r="A4" s="123" t="s">
        <v>485</v>
      </c>
      <c r="B4" s="268" t="s">
        <v>497</v>
      </c>
      <c r="C4" s="268"/>
      <c r="D4" s="268" t="s">
        <v>498</v>
      </c>
      <c r="E4" s="268"/>
      <c r="F4" s="268"/>
      <c r="G4" s="123" t="s">
        <v>25</v>
      </c>
      <c r="H4" s="123" t="s">
        <v>754</v>
      </c>
      <c r="I4" s="268" t="s">
        <v>501</v>
      </c>
      <c r="J4" s="268"/>
    </row>
    <row r="5" spans="1:10" ht="15.5">
      <c r="A5" s="123">
        <v>1</v>
      </c>
      <c r="B5" s="268">
        <v>2</v>
      </c>
      <c r="C5" s="268"/>
      <c r="D5" s="268">
        <v>3</v>
      </c>
      <c r="E5" s="268"/>
      <c r="F5" s="268"/>
      <c r="G5" s="123">
        <v>4</v>
      </c>
      <c r="H5" s="123">
        <v>5</v>
      </c>
      <c r="I5" s="268">
        <v>6</v>
      </c>
      <c r="J5" s="268"/>
    </row>
    <row r="6" spans="1:10" ht="32.25" customHeight="1">
      <c r="A6" s="123">
        <v>2</v>
      </c>
      <c r="B6" s="269" t="s">
        <v>757</v>
      </c>
      <c r="C6" s="269"/>
      <c r="D6" s="267">
        <v>702</v>
      </c>
      <c r="E6" s="267"/>
      <c r="F6" s="267"/>
      <c r="G6" s="123">
        <v>20</v>
      </c>
      <c r="H6" s="123">
        <v>6</v>
      </c>
      <c r="I6" s="267">
        <f t="shared" ref="I6:I41" si="0">D6*G6*H6</f>
        <v>84240</v>
      </c>
      <c r="J6" s="267"/>
    </row>
    <row r="7" spans="1:10" ht="33.75" customHeight="1">
      <c r="A7" s="123">
        <v>3</v>
      </c>
      <c r="B7" s="264" t="s">
        <v>24</v>
      </c>
      <c r="C7" s="265"/>
      <c r="D7" s="302">
        <v>200</v>
      </c>
      <c r="E7" s="303"/>
      <c r="F7" s="304"/>
      <c r="G7" s="123">
        <v>20</v>
      </c>
      <c r="H7" s="123">
        <v>8</v>
      </c>
      <c r="I7" s="267">
        <f>D7*G7*H7</f>
        <v>32000</v>
      </c>
      <c r="J7" s="267"/>
    </row>
    <row r="8" spans="1:10" ht="33.75" customHeight="1">
      <c r="A8" s="123">
        <v>4</v>
      </c>
      <c r="B8" s="264" t="s">
        <v>755</v>
      </c>
      <c r="C8" s="265"/>
      <c r="D8" s="267">
        <v>1600</v>
      </c>
      <c r="E8" s="267"/>
      <c r="F8" s="267"/>
      <c r="G8" s="123">
        <v>8</v>
      </c>
      <c r="H8" s="99">
        <v>1</v>
      </c>
      <c r="I8" s="267">
        <f t="shared" si="0"/>
        <v>12800</v>
      </c>
      <c r="J8" s="267"/>
    </row>
    <row r="9" spans="1:10" ht="33.75" customHeight="1">
      <c r="A9" s="123">
        <v>5</v>
      </c>
      <c r="B9" s="269" t="s">
        <v>26</v>
      </c>
      <c r="C9" s="269"/>
      <c r="D9" s="267">
        <v>500</v>
      </c>
      <c r="E9" s="267"/>
      <c r="F9" s="267"/>
      <c r="G9" s="123">
        <v>8</v>
      </c>
      <c r="H9" s="123">
        <v>4</v>
      </c>
      <c r="I9" s="267">
        <f t="shared" si="0"/>
        <v>16000</v>
      </c>
      <c r="J9" s="267"/>
    </row>
    <row r="10" spans="1:10" ht="33.75" customHeight="1">
      <c r="A10" s="123">
        <v>6</v>
      </c>
      <c r="B10" s="264" t="s">
        <v>27</v>
      </c>
      <c r="C10" s="265"/>
      <c r="D10" s="302">
        <v>200</v>
      </c>
      <c r="E10" s="303"/>
      <c r="F10" s="304"/>
      <c r="G10" s="123">
        <v>8</v>
      </c>
      <c r="H10" s="123">
        <v>6</v>
      </c>
      <c r="I10" s="267">
        <f t="shared" si="0"/>
        <v>9600</v>
      </c>
      <c r="J10" s="267"/>
    </row>
    <row r="11" spans="1:10" ht="29.25" customHeight="1">
      <c r="A11" s="123">
        <v>7</v>
      </c>
      <c r="B11" s="264" t="s">
        <v>756</v>
      </c>
      <c r="C11" s="265"/>
      <c r="D11" s="267">
        <v>3000</v>
      </c>
      <c r="E11" s="267"/>
      <c r="F11" s="267"/>
      <c r="G11" s="123">
        <v>2</v>
      </c>
      <c r="H11" s="99">
        <v>1</v>
      </c>
      <c r="I11" s="267">
        <f>D11*G11*H11</f>
        <v>6000</v>
      </c>
      <c r="J11" s="267"/>
    </row>
    <row r="12" spans="1:10" ht="34.5" customHeight="1">
      <c r="A12" s="123">
        <v>8</v>
      </c>
      <c r="B12" s="269" t="s">
        <v>759</v>
      </c>
      <c r="C12" s="269"/>
      <c r="D12" s="267">
        <v>800</v>
      </c>
      <c r="E12" s="267"/>
      <c r="F12" s="267"/>
      <c r="G12" s="123">
        <v>16</v>
      </c>
      <c r="H12" s="123">
        <v>3</v>
      </c>
      <c r="I12" s="267">
        <f t="shared" si="0"/>
        <v>38400</v>
      </c>
      <c r="J12" s="267"/>
    </row>
    <row r="13" spans="1:10" ht="34.5" customHeight="1">
      <c r="A13" s="123">
        <v>9</v>
      </c>
      <c r="B13" s="264" t="s">
        <v>28</v>
      </c>
      <c r="C13" s="265"/>
      <c r="D13" s="302">
        <v>200</v>
      </c>
      <c r="E13" s="303"/>
      <c r="F13" s="304"/>
      <c r="G13" s="123">
        <v>16</v>
      </c>
      <c r="H13" s="123">
        <v>4</v>
      </c>
      <c r="I13" s="267">
        <f>D13*G13*H13</f>
        <v>12800</v>
      </c>
      <c r="J13" s="267"/>
    </row>
    <row r="14" spans="1:10" ht="34.5" customHeight="1">
      <c r="A14" s="123">
        <v>11</v>
      </c>
      <c r="B14" s="269" t="s">
        <v>760</v>
      </c>
      <c r="C14" s="269"/>
      <c r="D14" s="267">
        <v>800</v>
      </c>
      <c r="E14" s="267"/>
      <c r="F14" s="267"/>
      <c r="G14" s="123">
        <v>8</v>
      </c>
      <c r="H14" s="123">
        <v>4</v>
      </c>
      <c r="I14" s="267">
        <f t="shared" si="0"/>
        <v>25600</v>
      </c>
      <c r="J14" s="267"/>
    </row>
    <row r="15" spans="1:10" ht="34.5" customHeight="1">
      <c r="A15" s="123">
        <v>12</v>
      </c>
      <c r="B15" s="264" t="s">
        <v>28</v>
      </c>
      <c r="C15" s="265"/>
      <c r="D15" s="302">
        <v>200</v>
      </c>
      <c r="E15" s="303"/>
      <c r="F15" s="304"/>
      <c r="G15" s="123">
        <v>8</v>
      </c>
      <c r="H15" s="123">
        <v>6</v>
      </c>
      <c r="I15" s="267">
        <f t="shared" si="0"/>
        <v>9600</v>
      </c>
      <c r="J15" s="267"/>
    </row>
    <row r="16" spans="1:10" ht="35.25" customHeight="1">
      <c r="A16" s="123">
        <v>14</v>
      </c>
      <c r="B16" s="269" t="s">
        <v>761</v>
      </c>
      <c r="C16" s="269"/>
      <c r="D16" s="267">
        <v>800</v>
      </c>
      <c r="E16" s="267"/>
      <c r="F16" s="267"/>
      <c r="G16" s="123">
        <v>6</v>
      </c>
      <c r="H16" s="123">
        <v>4</v>
      </c>
      <c r="I16" s="267">
        <f t="shared" si="0"/>
        <v>19200</v>
      </c>
      <c r="J16" s="267"/>
    </row>
    <row r="17" spans="1:10" ht="35.25" customHeight="1">
      <c r="A17" s="123">
        <v>15</v>
      </c>
      <c r="B17" s="264" t="s">
        <v>29</v>
      </c>
      <c r="C17" s="265"/>
      <c r="D17" s="302">
        <v>200</v>
      </c>
      <c r="E17" s="303"/>
      <c r="F17" s="304"/>
      <c r="G17" s="123">
        <v>6</v>
      </c>
      <c r="H17" s="123">
        <v>6</v>
      </c>
      <c r="I17" s="267">
        <f>D17*G17*H17</f>
        <v>7200</v>
      </c>
      <c r="J17" s="267"/>
    </row>
    <row r="18" spans="1:10" ht="35.25" customHeight="1">
      <c r="A18" s="123">
        <v>14</v>
      </c>
      <c r="B18" s="269" t="s">
        <v>761</v>
      </c>
      <c r="C18" s="269"/>
      <c r="D18" s="267">
        <v>800</v>
      </c>
      <c r="E18" s="267"/>
      <c r="F18" s="267"/>
      <c r="G18" s="123">
        <v>4</v>
      </c>
      <c r="H18" s="123">
        <v>4</v>
      </c>
      <c r="I18" s="267">
        <f>D18*G18*H18</f>
        <v>12800</v>
      </c>
      <c r="J18" s="267"/>
    </row>
    <row r="19" spans="1:10" ht="35.25" customHeight="1">
      <c r="A19" s="123">
        <v>15</v>
      </c>
      <c r="B19" s="264" t="s">
        <v>29</v>
      </c>
      <c r="C19" s="265"/>
      <c r="D19" s="302">
        <v>200</v>
      </c>
      <c r="E19" s="303"/>
      <c r="F19" s="304"/>
      <c r="G19" s="123">
        <v>4</v>
      </c>
      <c r="H19" s="123">
        <v>6</v>
      </c>
      <c r="I19" s="267">
        <f>D19*G19*H19</f>
        <v>4800</v>
      </c>
      <c r="J19" s="267"/>
    </row>
    <row r="20" spans="1:10" ht="34.5" customHeight="1">
      <c r="A20" s="123">
        <v>14</v>
      </c>
      <c r="B20" s="269" t="s">
        <v>761</v>
      </c>
      <c r="C20" s="269"/>
      <c r="D20" s="267">
        <v>800</v>
      </c>
      <c r="E20" s="267"/>
      <c r="F20" s="267"/>
      <c r="G20" s="123">
        <v>3</v>
      </c>
      <c r="H20" s="123">
        <v>3</v>
      </c>
      <c r="I20" s="267">
        <f>D20*G20*H20</f>
        <v>7200</v>
      </c>
      <c r="J20" s="267"/>
    </row>
    <row r="21" spans="1:10" ht="32.25" customHeight="1">
      <c r="A21" s="123">
        <v>15</v>
      </c>
      <c r="B21" s="264" t="s">
        <v>29</v>
      </c>
      <c r="C21" s="265"/>
      <c r="D21" s="302">
        <v>200</v>
      </c>
      <c r="E21" s="303"/>
      <c r="F21" s="304"/>
      <c r="G21" s="123">
        <v>3</v>
      </c>
      <c r="H21" s="123">
        <v>5</v>
      </c>
      <c r="I21" s="267">
        <f>D21*G21*H21</f>
        <v>3000</v>
      </c>
      <c r="J21" s="267"/>
    </row>
    <row r="22" spans="1:10" ht="42.75" customHeight="1">
      <c r="A22" s="123">
        <v>12</v>
      </c>
      <c r="B22" s="269" t="s">
        <v>30</v>
      </c>
      <c r="C22" s="269"/>
      <c r="D22" s="267">
        <v>800</v>
      </c>
      <c r="E22" s="267"/>
      <c r="F22" s="267"/>
      <c r="G22" s="123">
        <v>6</v>
      </c>
      <c r="H22" s="123">
        <v>5</v>
      </c>
      <c r="I22" s="267">
        <f t="shared" si="0"/>
        <v>24000</v>
      </c>
      <c r="J22" s="267"/>
    </row>
    <row r="23" spans="1:10" ht="36" customHeight="1">
      <c r="A23" s="123">
        <v>15</v>
      </c>
      <c r="B23" s="264" t="s">
        <v>31</v>
      </c>
      <c r="C23" s="265"/>
      <c r="D23" s="302">
        <v>200</v>
      </c>
      <c r="E23" s="303"/>
      <c r="F23" s="304"/>
      <c r="G23" s="123">
        <v>6</v>
      </c>
      <c r="H23" s="123">
        <v>7</v>
      </c>
      <c r="I23" s="267">
        <f t="shared" si="0"/>
        <v>8400</v>
      </c>
      <c r="J23" s="267"/>
    </row>
    <row r="24" spans="1:10" ht="36" customHeight="1">
      <c r="A24" s="123">
        <v>14</v>
      </c>
      <c r="B24" s="271" t="s">
        <v>763</v>
      </c>
      <c r="C24" s="271"/>
      <c r="D24" s="267">
        <v>800</v>
      </c>
      <c r="E24" s="267"/>
      <c r="F24" s="267"/>
      <c r="G24" s="123">
        <v>7</v>
      </c>
      <c r="H24" s="123">
        <v>3</v>
      </c>
      <c r="I24" s="267">
        <f t="shared" si="0"/>
        <v>16800</v>
      </c>
      <c r="J24" s="267"/>
    </row>
    <row r="25" spans="1:10" ht="36" customHeight="1">
      <c r="A25" s="123">
        <v>15</v>
      </c>
      <c r="B25" s="264" t="s">
        <v>32</v>
      </c>
      <c r="C25" s="265"/>
      <c r="D25" s="302">
        <v>200</v>
      </c>
      <c r="E25" s="303"/>
      <c r="F25" s="304"/>
      <c r="G25" s="123">
        <v>7</v>
      </c>
      <c r="H25" s="123">
        <v>5</v>
      </c>
      <c r="I25" s="267">
        <f>D25*G25*H25</f>
        <v>7000</v>
      </c>
      <c r="J25" s="267"/>
    </row>
    <row r="26" spans="1:10" ht="36" customHeight="1">
      <c r="A26" s="123">
        <v>16</v>
      </c>
      <c r="B26" s="271" t="s">
        <v>764</v>
      </c>
      <c r="C26" s="271"/>
      <c r="D26" s="267">
        <v>800</v>
      </c>
      <c r="E26" s="267"/>
      <c r="F26" s="267"/>
      <c r="G26" s="123">
        <v>6</v>
      </c>
      <c r="H26" s="123">
        <v>5</v>
      </c>
      <c r="I26" s="267">
        <f t="shared" si="0"/>
        <v>24000</v>
      </c>
      <c r="J26" s="267"/>
    </row>
    <row r="27" spans="1:10" ht="36" customHeight="1">
      <c r="A27" s="123">
        <v>15</v>
      </c>
      <c r="B27" s="264" t="s">
        <v>33</v>
      </c>
      <c r="C27" s="265"/>
      <c r="D27" s="302">
        <v>200</v>
      </c>
      <c r="E27" s="303"/>
      <c r="F27" s="304"/>
      <c r="G27" s="123">
        <v>6</v>
      </c>
      <c r="H27" s="123">
        <v>7</v>
      </c>
      <c r="I27" s="267">
        <f t="shared" si="0"/>
        <v>8400</v>
      </c>
      <c r="J27" s="267"/>
    </row>
    <row r="28" spans="1:10" ht="36" customHeight="1">
      <c r="A28" s="123">
        <v>18</v>
      </c>
      <c r="B28" s="269" t="s">
        <v>765</v>
      </c>
      <c r="C28" s="269"/>
      <c r="D28" s="267">
        <v>800</v>
      </c>
      <c r="E28" s="267"/>
      <c r="F28" s="267"/>
      <c r="G28" s="123">
        <v>5</v>
      </c>
      <c r="H28" s="123">
        <v>3</v>
      </c>
      <c r="I28" s="267">
        <f t="shared" si="0"/>
        <v>12000</v>
      </c>
      <c r="J28" s="267"/>
    </row>
    <row r="29" spans="1:10" ht="36" customHeight="1">
      <c r="A29" s="123">
        <v>15</v>
      </c>
      <c r="B29" s="264" t="s">
        <v>35</v>
      </c>
      <c r="C29" s="265"/>
      <c r="D29" s="302">
        <v>200</v>
      </c>
      <c r="E29" s="303"/>
      <c r="F29" s="304"/>
      <c r="G29" s="123">
        <v>5</v>
      </c>
      <c r="H29" s="123">
        <v>3</v>
      </c>
      <c r="I29" s="267">
        <f>D29*G29*H29</f>
        <v>3000</v>
      </c>
      <c r="J29" s="267"/>
    </row>
    <row r="30" spans="1:10" ht="36" customHeight="1">
      <c r="A30" s="123">
        <v>20</v>
      </c>
      <c r="B30" s="269" t="s">
        <v>766</v>
      </c>
      <c r="C30" s="269"/>
      <c r="D30" s="267">
        <v>800</v>
      </c>
      <c r="E30" s="267"/>
      <c r="F30" s="267"/>
      <c r="G30" s="123">
        <v>16</v>
      </c>
      <c r="H30" s="123">
        <v>5</v>
      </c>
      <c r="I30" s="267">
        <f t="shared" si="0"/>
        <v>64000</v>
      </c>
      <c r="J30" s="267"/>
    </row>
    <row r="31" spans="1:10" ht="36" customHeight="1">
      <c r="A31" s="123">
        <v>15</v>
      </c>
      <c r="B31" s="264" t="s">
        <v>34</v>
      </c>
      <c r="C31" s="265"/>
      <c r="D31" s="302">
        <v>200</v>
      </c>
      <c r="E31" s="303"/>
      <c r="F31" s="304"/>
      <c r="G31" s="123">
        <v>16</v>
      </c>
      <c r="H31" s="123">
        <v>5</v>
      </c>
      <c r="I31" s="267">
        <f t="shared" si="0"/>
        <v>16000</v>
      </c>
      <c r="J31" s="267"/>
    </row>
    <row r="32" spans="1:10" ht="42.75" customHeight="1">
      <c r="A32" s="123">
        <v>22</v>
      </c>
      <c r="B32" s="269" t="s">
        <v>767</v>
      </c>
      <c r="C32" s="269"/>
      <c r="D32" s="267">
        <v>700</v>
      </c>
      <c r="E32" s="267"/>
      <c r="F32" s="267"/>
      <c r="G32" s="100">
        <v>16</v>
      </c>
      <c r="H32" s="100">
        <v>5</v>
      </c>
      <c r="I32" s="267">
        <f t="shared" si="0"/>
        <v>56000</v>
      </c>
      <c r="J32" s="267"/>
    </row>
    <row r="33" spans="1:12" ht="42.75" customHeight="1">
      <c r="A33" s="123">
        <v>15</v>
      </c>
      <c r="B33" s="264" t="s">
        <v>36</v>
      </c>
      <c r="C33" s="265"/>
      <c r="D33" s="302">
        <v>200</v>
      </c>
      <c r="E33" s="303"/>
      <c r="F33" s="304"/>
      <c r="G33" s="123">
        <v>16</v>
      </c>
      <c r="H33" s="123">
        <v>5</v>
      </c>
      <c r="I33" s="267">
        <f>D33*G33*H33</f>
        <v>16000</v>
      </c>
      <c r="J33" s="267"/>
    </row>
    <row r="34" spans="1:12" ht="50.25" customHeight="1">
      <c r="A34" s="123">
        <v>23</v>
      </c>
      <c r="B34" s="269" t="s">
        <v>37</v>
      </c>
      <c r="C34" s="269"/>
      <c r="D34" s="267">
        <f>1000*2</f>
        <v>2000</v>
      </c>
      <c r="E34" s="267"/>
      <c r="F34" s="267"/>
      <c r="G34" s="100">
        <v>15</v>
      </c>
      <c r="H34" s="101">
        <v>1</v>
      </c>
      <c r="I34" s="267">
        <f t="shared" si="0"/>
        <v>30000</v>
      </c>
      <c r="J34" s="267"/>
    </row>
    <row r="35" spans="1:12" ht="53.25" customHeight="1">
      <c r="A35" s="123">
        <v>24</v>
      </c>
      <c r="B35" s="269" t="s">
        <v>38</v>
      </c>
      <c r="C35" s="269"/>
      <c r="D35" s="267">
        <v>600</v>
      </c>
      <c r="E35" s="267"/>
      <c r="F35" s="267"/>
      <c r="G35" s="100">
        <v>15</v>
      </c>
      <c r="H35" s="100">
        <v>4</v>
      </c>
      <c r="I35" s="267">
        <f t="shared" si="0"/>
        <v>36000</v>
      </c>
      <c r="J35" s="267"/>
    </row>
    <row r="36" spans="1:12" ht="53.25" customHeight="1">
      <c r="A36" s="123">
        <v>15</v>
      </c>
      <c r="B36" s="264" t="s">
        <v>39</v>
      </c>
      <c r="C36" s="265"/>
      <c r="D36" s="302">
        <v>200</v>
      </c>
      <c r="E36" s="303"/>
      <c r="F36" s="304"/>
      <c r="G36" s="123">
        <v>15</v>
      </c>
      <c r="H36" s="123">
        <v>4</v>
      </c>
      <c r="I36" s="267">
        <f t="shared" si="0"/>
        <v>12000</v>
      </c>
      <c r="J36" s="267"/>
    </row>
    <row r="37" spans="1:12" ht="42" customHeight="1">
      <c r="A37" s="123">
        <v>26</v>
      </c>
      <c r="B37" s="269" t="s">
        <v>770</v>
      </c>
      <c r="C37" s="269"/>
      <c r="D37" s="267">
        <v>800</v>
      </c>
      <c r="E37" s="267"/>
      <c r="F37" s="267"/>
      <c r="G37" s="100">
        <v>9</v>
      </c>
      <c r="H37" s="100">
        <v>5</v>
      </c>
      <c r="I37" s="267">
        <f t="shared" si="0"/>
        <v>36000</v>
      </c>
      <c r="J37" s="267"/>
    </row>
    <row r="38" spans="1:12" ht="42" customHeight="1">
      <c r="A38" s="123">
        <v>15</v>
      </c>
      <c r="B38" s="264" t="s">
        <v>40</v>
      </c>
      <c r="C38" s="265"/>
      <c r="D38" s="302">
        <v>200</v>
      </c>
      <c r="E38" s="303"/>
      <c r="F38" s="304"/>
      <c r="G38" s="123">
        <v>9</v>
      </c>
      <c r="H38" s="123">
        <v>5</v>
      </c>
      <c r="I38" s="267">
        <f>D38*G38*H38</f>
        <v>9000</v>
      </c>
      <c r="J38" s="267"/>
    </row>
    <row r="39" spans="1:12" ht="34.5" customHeight="1">
      <c r="A39" s="123">
        <v>27</v>
      </c>
      <c r="B39" s="269" t="s">
        <v>771</v>
      </c>
      <c r="C39" s="269"/>
      <c r="D39" s="267">
        <v>2947.5</v>
      </c>
      <c r="E39" s="267"/>
      <c r="F39" s="267"/>
      <c r="G39" s="100">
        <v>16</v>
      </c>
      <c r="H39" s="101">
        <v>1</v>
      </c>
      <c r="I39" s="267">
        <f>ROUND(D39*G39*H39,0)</f>
        <v>47160</v>
      </c>
      <c r="J39" s="267"/>
    </row>
    <row r="40" spans="1:12" ht="34.5" customHeight="1">
      <c r="A40" s="123">
        <v>28</v>
      </c>
      <c r="B40" s="269" t="s">
        <v>772</v>
      </c>
      <c r="C40" s="269"/>
      <c r="D40" s="267">
        <f>800</f>
        <v>800</v>
      </c>
      <c r="E40" s="267"/>
      <c r="F40" s="267"/>
      <c r="G40" s="100">
        <v>16</v>
      </c>
      <c r="H40" s="100">
        <v>7</v>
      </c>
      <c r="I40" s="267">
        <f t="shared" si="0"/>
        <v>89600</v>
      </c>
      <c r="J40" s="267"/>
    </row>
    <row r="41" spans="1:12" ht="34.5" customHeight="1">
      <c r="A41" s="123">
        <v>15</v>
      </c>
      <c r="B41" s="264" t="s">
        <v>41</v>
      </c>
      <c r="C41" s="265"/>
      <c r="D41" s="302">
        <v>200</v>
      </c>
      <c r="E41" s="303"/>
      <c r="F41" s="304"/>
      <c r="G41" s="123">
        <v>16</v>
      </c>
      <c r="H41" s="123">
        <v>7</v>
      </c>
      <c r="I41" s="267">
        <f t="shared" si="0"/>
        <v>22400</v>
      </c>
      <c r="J41" s="267"/>
    </row>
    <row r="42" spans="1:12" ht="15.5">
      <c r="A42" s="123"/>
      <c r="B42" s="268" t="s">
        <v>493</v>
      </c>
      <c r="C42" s="268"/>
      <c r="D42" s="268" t="s">
        <v>494</v>
      </c>
      <c r="E42" s="268"/>
      <c r="F42" s="268"/>
      <c r="G42" s="123" t="s">
        <v>494</v>
      </c>
      <c r="H42" s="123" t="s">
        <v>494</v>
      </c>
      <c r="I42" s="267">
        <f>SUM(I6:J41)</f>
        <v>839000</v>
      </c>
      <c r="J42" s="266"/>
      <c r="K42" s="124">
        <f ca="1">'р.3 2017'!D68</f>
        <v>839000</v>
      </c>
      <c r="L42" s="94">
        <f>K42-I42</f>
        <v>0</v>
      </c>
    </row>
    <row r="44" spans="1:12">
      <c r="J44" s="94"/>
    </row>
  </sheetData>
  <mergeCells count="120">
    <mergeCell ref="B4:C4"/>
    <mergeCell ref="D4:F4"/>
    <mergeCell ref="I4:J4"/>
    <mergeCell ref="D11:F11"/>
    <mergeCell ref="I11:J11"/>
    <mergeCell ref="B10:C10"/>
    <mergeCell ref="D10:F10"/>
    <mergeCell ref="A1:J1"/>
    <mergeCell ref="B5:C5"/>
    <mergeCell ref="D5:F5"/>
    <mergeCell ref="I5:J5"/>
    <mergeCell ref="A2:J2"/>
    <mergeCell ref="A3:J3"/>
    <mergeCell ref="I8:J8"/>
    <mergeCell ref="D7:F7"/>
    <mergeCell ref="I7:J7"/>
    <mergeCell ref="B7:C7"/>
    <mergeCell ref="D13:F13"/>
    <mergeCell ref="I13:J13"/>
    <mergeCell ref="B9:C9"/>
    <mergeCell ref="D9:F9"/>
    <mergeCell ref="I9:J9"/>
    <mergeCell ref="B11:C11"/>
    <mergeCell ref="I10:J10"/>
    <mergeCell ref="B13:C13"/>
    <mergeCell ref="B12:C12"/>
    <mergeCell ref="D12:F12"/>
    <mergeCell ref="I12:J12"/>
    <mergeCell ref="B6:C6"/>
    <mergeCell ref="D6:F6"/>
    <mergeCell ref="I6:J6"/>
    <mergeCell ref="B8:C8"/>
    <mergeCell ref="D8:F8"/>
    <mergeCell ref="B17:C17"/>
    <mergeCell ref="D17:F17"/>
    <mergeCell ref="I17:J17"/>
    <mergeCell ref="B14:C14"/>
    <mergeCell ref="D14:F14"/>
    <mergeCell ref="I14:J14"/>
    <mergeCell ref="B15:C15"/>
    <mergeCell ref="D15:F15"/>
    <mergeCell ref="I15:J15"/>
    <mergeCell ref="B16:C16"/>
    <mergeCell ref="D16:F16"/>
    <mergeCell ref="I16:J16"/>
    <mergeCell ref="B22:C22"/>
    <mergeCell ref="D22:F22"/>
    <mergeCell ref="I22:J22"/>
    <mergeCell ref="B18:C18"/>
    <mergeCell ref="D18:F18"/>
    <mergeCell ref="I18:J18"/>
    <mergeCell ref="B19:C19"/>
    <mergeCell ref="D19:F19"/>
    <mergeCell ref="B23:C23"/>
    <mergeCell ref="D23:F23"/>
    <mergeCell ref="I23:J23"/>
    <mergeCell ref="B24:C24"/>
    <mergeCell ref="D24:F24"/>
    <mergeCell ref="I24:J24"/>
    <mergeCell ref="B25:C25"/>
    <mergeCell ref="D25:F25"/>
    <mergeCell ref="I25:J25"/>
    <mergeCell ref="B26:C26"/>
    <mergeCell ref="D26:F26"/>
    <mergeCell ref="I26:J26"/>
    <mergeCell ref="B27:C27"/>
    <mergeCell ref="D27:F27"/>
    <mergeCell ref="I27:J27"/>
    <mergeCell ref="B28:C28"/>
    <mergeCell ref="D28:F28"/>
    <mergeCell ref="I28:J28"/>
    <mergeCell ref="B29:C29"/>
    <mergeCell ref="D29:F29"/>
    <mergeCell ref="I29:J29"/>
    <mergeCell ref="B30:C30"/>
    <mergeCell ref="D30:F30"/>
    <mergeCell ref="I30:J30"/>
    <mergeCell ref="B31:C31"/>
    <mergeCell ref="D31:F31"/>
    <mergeCell ref="I31:J31"/>
    <mergeCell ref="B32:C32"/>
    <mergeCell ref="D32:F32"/>
    <mergeCell ref="I32:J32"/>
    <mergeCell ref="B37:C37"/>
    <mergeCell ref="B34:C34"/>
    <mergeCell ref="D34:F34"/>
    <mergeCell ref="I34:J34"/>
    <mergeCell ref="B33:C33"/>
    <mergeCell ref="D33:F33"/>
    <mergeCell ref="I33:J33"/>
    <mergeCell ref="D39:F39"/>
    <mergeCell ref="B40:C40"/>
    <mergeCell ref="D40:F40"/>
    <mergeCell ref="I40:J40"/>
    <mergeCell ref="B35:C35"/>
    <mergeCell ref="D35:F35"/>
    <mergeCell ref="I35:J35"/>
    <mergeCell ref="B36:C36"/>
    <mergeCell ref="D36:F36"/>
    <mergeCell ref="I36:J36"/>
    <mergeCell ref="I20:J20"/>
    <mergeCell ref="D37:F37"/>
    <mergeCell ref="I37:J37"/>
    <mergeCell ref="B42:C42"/>
    <mergeCell ref="D42:F42"/>
    <mergeCell ref="I42:J42"/>
    <mergeCell ref="B41:C41"/>
    <mergeCell ref="D41:F41"/>
    <mergeCell ref="I41:J41"/>
    <mergeCell ref="B39:C39"/>
    <mergeCell ref="I39:J39"/>
    <mergeCell ref="B38:C38"/>
    <mergeCell ref="D38:F38"/>
    <mergeCell ref="I38:J38"/>
    <mergeCell ref="I19:J19"/>
    <mergeCell ref="B21:C21"/>
    <mergeCell ref="D21:F21"/>
    <mergeCell ref="I21:J21"/>
    <mergeCell ref="B20:C20"/>
    <mergeCell ref="D20:F20"/>
  </mergeCells>
  <phoneticPr fontId="0" type="noConversion"/>
  <pageMargins left="0.94488188976377963" right="0.47244094488188981" top="0.27559055118110237" bottom="0.47244094488188981" header="0.19685039370078741" footer="0.19685039370078741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FF00"/>
  </sheetPr>
  <dimension ref="A1:K304"/>
  <sheetViews>
    <sheetView topLeftCell="A290" zoomScale="110" zoomScaleNormal="110" workbookViewId="0">
      <selection activeCell="M279" sqref="M279"/>
    </sheetView>
  </sheetViews>
  <sheetFormatPr defaultColWidth="9.1796875" defaultRowHeight="14.5"/>
  <cols>
    <col min="1" max="1" width="4.7265625" style="70" customWidth="1"/>
    <col min="2" max="2" width="31.26953125" style="70" customWidth="1"/>
    <col min="3" max="3" width="27.81640625" style="70" customWidth="1"/>
    <col min="4" max="4" width="16.26953125" style="70" customWidth="1"/>
    <col min="5" max="5" width="17.7265625" style="70" customWidth="1"/>
    <col min="6" max="6" width="16.1796875" style="70" customWidth="1"/>
    <col min="7" max="8" width="12.81640625" style="70" bestFit="1" customWidth="1"/>
    <col min="9" max="9" width="10.453125" style="70" bestFit="1" customWidth="1"/>
    <col min="10" max="16384" width="9.1796875" style="70"/>
  </cols>
  <sheetData>
    <row r="1" spans="1:10" ht="6.75" customHeight="1"/>
    <row r="2" spans="1:10" ht="15" customHeight="1">
      <c r="A2" s="273" t="s">
        <v>554</v>
      </c>
      <c r="B2" s="273"/>
      <c r="C2" s="273"/>
      <c r="D2" s="273"/>
      <c r="E2" s="273"/>
      <c r="F2" s="273"/>
      <c r="H2" s="70">
        <v>262</v>
      </c>
    </row>
    <row r="3" spans="1:10" ht="15" customHeight="1">
      <c r="A3" s="273" t="s">
        <v>555</v>
      </c>
      <c r="B3" s="273"/>
      <c r="C3" s="273"/>
      <c r="D3" s="273"/>
      <c r="E3" s="273"/>
      <c r="F3" s="273"/>
    </row>
    <row r="4" spans="1:10" ht="7.5" customHeight="1"/>
    <row r="5" spans="1:10" ht="30.75" customHeight="1">
      <c r="A5" s="262" t="s">
        <v>164</v>
      </c>
      <c r="B5" s="262"/>
      <c r="C5" s="262"/>
      <c r="D5" s="262"/>
      <c r="E5" s="262"/>
      <c r="F5" s="262"/>
    </row>
    <row r="6" spans="1:10" ht="15" customHeight="1">
      <c r="A6" s="260" t="s">
        <v>10</v>
      </c>
      <c r="B6" s="260"/>
      <c r="C6" s="260"/>
      <c r="D6" s="260"/>
      <c r="E6" s="260"/>
      <c r="F6" s="260"/>
    </row>
    <row r="7" spans="1:10" ht="15" customHeight="1">
      <c r="A7" s="318" t="s">
        <v>163</v>
      </c>
      <c r="B7" s="318"/>
      <c r="C7" s="318"/>
      <c r="D7" s="318"/>
      <c r="E7" s="318"/>
      <c r="F7" s="318"/>
    </row>
    <row r="8" spans="1:10" ht="41.25" customHeight="1">
      <c r="A8" s="144" t="s">
        <v>485</v>
      </c>
      <c r="B8" s="332" t="s">
        <v>223</v>
      </c>
      <c r="C8" s="332"/>
      <c r="D8" s="144" t="s">
        <v>556</v>
      </c>
      <c r="E8" s="144" t="s">
        <v>557</v>
      </c>
      <c r="F8" s="144" t="s">
        <v>558</v>
      </c>
    </row>
    <row r="9" spans="1:10" ht="15" customHeight="1">
      <c r="A9" s="144">
        <v>1</v>
      </c>
      <c r="B9" s="332">
        <v>2</v>
      </c>
      <c r="C9" s="332"/>
      <c r="D9" s="144">
        <v>3</v>
      </c>
      <c r="E9" s="144">
        <v>4</v>
      </c>
      <c r="F9" s="144">
        <v>5</v>
      </c>
    </row>
    <row r="10" spans="1:10" ht="27.75" customHeight="1">
      <c r="A10" s="144">
        <v>1</v>
      </c>
      <c r="B10" s="312" t="s">
        <v>165</v>
      </c>
      <c r="C10" s="314"/>
      <c r="D10" s="127">
        <v>61319.18</v>
      </c>
      <c r="E10" s="144">
        <v>1</v>
      </c>
      <c r="F10" s="127">
        <f>ROUND(D10*E10,2)</f>
        <v>61319.18</v>
      </c>
    </row>
    <row r="11" spans="1:10" s="128" customFormat="1" ht="15" customHeight="1">
      <c r="A11" s="167"/>
      <c r="B11" s="333" t="s">
        <v>493</v>
      </c>
      <c r="C11" s="333"/>
      <c r="D11" s="167" t="s">
        <v>494</v>
      </c>
      <c r="E11" s="167" t="s">
        <v>494</v>
      </c>
      <c r="F11" s="174">
        <f>F10</f>
        <v>61319.18</v>
      </c>
      <c r="G11" s="128">
        <f ca="1">'р.3 2017'!D76</f>
        <v>61319.18</v>
      </c>
      <c r="H11" s="162">
        <f>F11-G11</f>
        <v>0</v>
      </c>
    </row>
    <row r="12" spans="1:10" ht="15" customHeight="1">
      <c r="A12" s="95"/>
      <c r="B12" s="95"/>
      <c r="C12" s="95"/>
      <c r="D12" s="95"/>
      <c r="E12" s="95"/>
      <c r="F12" s="95"/>
    </row>
    <row r="13" spans="1:10" ht="15" customHeight="1">
      <c r="A13" s="273" t="s">
        <v>562</v>
      </c>
      <c r="B13" s="273"/>
      <c r="C13" s="273"/>
      <c r="D13" s="273"/>
      <c r="E13" s="273"/>
      <c r="F13" s="273"/>
      <c r="I13" s="70">
        <v>290</v>
      </c>
      <c r="J13" s="70">
        <v>1143</v>
      </c>
    </row>
    <row r="14" spans="1:10" ht="15" customHeight="1">
      <c r="A14" s="273" t="s">
        <v>563</v>
      </c>
      <c r="B14" s="273"/>
      <c r="C14" s="273"/>
      <c r="D14" s="273"/>
      <c r="E14" s="273"/>
      <c r="F14" s="273"/>
    </row>
    <row r="15" spans="1:10" ht="6" customHeight="1">
      <c r="A15" s="141"/>
      <c r="B15" s="141"/>
      <c r="C15" s="141"/>
      <c r="D15" s="141"/>
      <c r="E15" s="141"/>
      <c r="F15" s="141"/>
    </row>
    <row r="16" spans="1:10" ht="15" customHeight="1">
      <c r="A16" s="273" t="s">
        <v>139</v>
      </c>
      <c r="B16" s="273"/>
      <c r="C16" s="273"/>
      <c r="D16" s="273"/>
      <c r="E16" s="273"/>
      <c r="F16" s="273"/>
    </row>
    <row r="17" spans="1:8" ht="18.75" customHeight="1">
      <c r="A17" s="270" t="s">
        <v>132</v>
      </c>
      <c r="B17" s="270"/>
      <c r="C17" s="270"/>
      <c r="D17" s="270"/>
      <c r="E17" s="270"/>
      <c r="F17" s="270"/>
    </row>
    <row r="18" spans="1:8" ht="15" customHeight="1">
      <c r="A18" s="260" t="s">
        <v>10</v>
      </c>
      <c r="B18" s="260"/>
      <c r="C18" s="260"/>
      <c r="D18" s="260"/>
      <c r="E18" s="260"/>
      <c r="F18" s="260"/>
    </row>
    <row r="19" spans="1:8" ht="15" customHeight="1">
      <c r="A19" s="318" t="s">
        <v>137</v>
      </c>
      <c r="B19" s="318"/>
      <c r="C19" s="318"/>
      <c r="D19" s="318"/>
      <c r="E19" s="318"/>
      <c r="F19" s="318"/>
    </row>
    <row r="20" spans="1:8" ht="43.5" customHeight="1">
      <c r="A20" s="144" t="s">
        <v>485</v>
      </c>
      <c r="B20" s="144" t="s">
        <v>497</v>
      </c>
      <c r="C20" s="144" t="s">
        <v>564</v>
      </c>
      <c r="D20" s="144" t="s">
        <v>565</v>
      </c>
      <c r="E20" s="261" t="s">
        <v>566</v>
      </c>
      <c r="F20" s="261"/>
    </row>
    <row r="21" spans="1:8" ht="15" customHeight="1">
      <c r="A21" s="144">
        <v>1</v>
      </c>
      <c r="B21" s="144">
        <v>2</v>
      </c>
      <c r="C21" s="144">
        <v>3</v>
      </c>
      <c r="D21" s="144">
        <v>4</v>
      </c>
      <c r="E21" s="261">
        <v>5</v>
      </c>
      <c r="F21" s="261"/>
    </row>
    <row r="22" spans="1:8" ht="15.75" customHeight="1">
      <c r="A22" s="144">
        <v>1</v>
      </c>
      <c r="B22" s="144" t="s">
        <v>9</v>
      </c>
      <c r="C22" s="148">
        <v>11670.800000000003</v>
      </c>
      <c r="D22" s="142">
        <v>2.2000000000000002</v>
      </c>
      <c r="E22" s="306">
        <f>CEILING(C22*D22/100,100)</f>
        <v>300</v>
      </c>
      <c r="F22" s="306"/>
    </row>
    <row r="23" spans="1:8" s="128" customFormat="1" ht="15" customHeight="1">
      <c r="A23" s="167"/>
      <c r="B23" s="167" t="s">
        <v>493</v>
      </c>
      <c r="C23" s="167"/>
      <c r="D23" s="167" t="s">
        <v>494</v>
      </c>
      <c r="E23" s="307">
        <f>SUM(E22)</f>
        <v>300</v>
      </c>
      <c r="F23" s="308"/>
      <c r="G23" s="128">
        <f ca="1">'р.3 2017'!D87</f>
        <v>300</v>
      </c>
      <c r="H23" s="128">
        <f>E23-G23</f>
        <v>0</v>
      </c>
    </row>
    <row r="24" spans="1:8" ht="15" customHeight="1"/>
    <row r="25" spans="1:8" ht="21" customHeight="1">
      <c r="A25" s="270" t="s">
        <v>166</v>
      </c>
      <c r="B25" s="270"/>
      <c r="C25" s="270"/>
      <c r="D25" s="270"/>
      <c r="E25" s="270"/>
      <c r="F25" s="270"/>
    </row>
    <row r="26" spans="1:8" ht="15" customHeight="1">
      <c r="A26" s="260" t="s">
        <v>10</v>
      </c>
      <c r="B26" s="260"/>
      <c r="C26" s="260"/>
      <c r="D26" s="260"/>
      <c r="E26" s="260"/>
      <c r="F26" s="260"/>
    </row>
    <row r="27" spans="1:8" ht="15" customHeight="1">
      <c r="A27" s="318" t="s">
        <v>167</v>
      </c>
      <c r="B27" s="318"/>
      <c r="C27" s="318"/>
      <c r="D27" s="318"/>
      <c r="E27" s="318"/>
      <c r="F27" s="318"/>
    </row>
    <row r="28" spans="1:8" ht="15" customHeight="1">
      <c r="A28" s="144" t="s">
        <v>485</v>
      </c>
      <c r="B28" s="309" t="s">
        <v>497</v>
      </c>
      <c r="C28" s="310"/>
      <c r="D28" s="311"/>
      <c r="E28" s="261" t="s">
        <v>168</v>
      </c>
      <c r="F28" s="261"/>
    </row>
    <row r="29" spans="1:8" ht="15" customHeight="1">
      <c r="A29" s="144">
        <v>1</v>
      </c>
      <c r="B29" s="309">
        <v>2</v>
      </c>
      <c r="C29" s="310"/>
      <c r="D29" s="311"/>
      <c r="E29" s="261">
        <v>5</v>
      </c>
      <c r="F29" s="261"/>
    </row>
    <row r="30" spans="1:8" ht="27.75" customHeight="1">
      <c r="A30" s="144">
        <v>1</v>
      </c>
      <c r="B30" s="312" t="s">
        <v>169</v>
      </c>
      <c r="C30" s="313"/>
      <c r="D30" s="314"/>
      <c r="E30" s="306">
        <v>800</v>
      </c>
      <c r="F30" s="306"/>
    </row>
    <row r="31" spans="1:8" ht="15" customHeight="1">
      <c r="A31" s="167"/>
      <c r="B31" s="315" t="s">
        <v>493</v>
      </c>
      <c r="C31" s="316"/>
      <c r="D31" s="317"/>
      <c r="E31" s="307">
        <f>SUM(E30)</f>
        <v>800</v>
      </c>
      <c r="F31" s="308"/>
      <c r="G31" s="70">
        <f ca="1">'р.3 2017'!H88</f>
        <v>800</v>
      </c>
      <c r="H31" s="70">
        <f>E31-G31</f>
        <v>0</v>
      </c>
    </row>
    <row r="32" spans="1:8" ht="9.75" customHeight="1"/>
    <row r="33" spans="1:8" ht="18.75" customHeight="1">
      <c r="A33" s="273" t="s">
        <v>141</v>
      </c>
      <c r="B33" s="273"/>
      <c r="C33" s="273"/>
      <c r="D33" s="273"/>
      <c r="E33" s="273"/>
      <c r="F33" s="273"/>
    </row>
    <row r="34" spans="1:8" ht="17.25" customHeight="1">
      <c r="A34" s="270" t="s">
        <v>140</v>
      </c>
      <c r="B34" s="270"/>
      <c r="C34" s="270"/>
      <c r="D34" s="270"/>
      <c r="E34" s="270"/>
      <c r="F34" s="270"/>
      <c r="G34" s="70" t="s">
        <v>146</v>
      </c>
    </row>
    <row r="35" spans="1:8" ht="23.25" customHeight="1">
      <c r="A35" s="272" t="s">
        <v>171</v>
      </c>
      <c r="B35" s="272"/>
      <c r="C35" s="272"/>
      <c r="D35" s="272"/>
      <c r="E35" s="272"/>
      <c r="F35" s="272"/>
    </row>
    <row r="36" spans="1:8" ht="15" customHeight="1">
      <c r="A36" s="318" t="s">
        <v>148</v>
      </c>
      <c r="B36" s="318"/>
      <c r="C36" s="318"/>
      <c r="D36" s="318"/>
      <c r="E36" s="318"/>
      <c r="F36" s="318"/>
    </row>
    <row r="37" spans="1:8" ht="15" customHeight="1">
      <c r="A37" s="144" t="s">
        <v>485</v>
      </c>
      <c r="B37" s="309" t="s">
        <v>497</v>
      </c>
      <c r="C37" s="311"/>
      <c r="D37" s="144" t="s">
        <v>142</v>
      </c>
      <c r="E37" s="261" t="s">
        <v>144</v>
      </c>
      <c r="F37" s="261"/>
    </row>
    <row r="38" spans="1:8" ht="15" customHeight="1">
      <c r="A38" s="144">
        <v>1</v>
      </c>
      <c r="B38" s="309">
        <v>2</v>
      </c>
      <c r="C38" s="311"/>
      <c r="D38" s="144">
        <v>3</v>
      </c>
      <c r="E38" s="261">
        <v>4</v>
      </c>
      <c r="F38" s="261"/>
    </row>
    <row r="39" spans="1:8" ht="42.75" customHeight="1">
      <c r="A39" s="144">
        <v>1</v>
      </c>
      <c r="B39" s="312" t="s">
        <v>145</v>
      </c>
      <c r="C39" s="314"/>
      <c r="D39" s="148" t="s">
        <v>143</v>
      </c>
      <c r="E39" s="306">
        <v>361536.4</v>
      </c>
      <c r="F39" s="306"/>
    </row>
    <row r="40" spans="1:8" ht="15" customHeight="1">
      <c r="A40" s="144"/>
      <c r="B40" s="309" t="s">
        <v>493</v>
      </c>
      <c r="C40" s="311"/>
      <c r="D40" s="144" t="s">
        <v>494</v>
      </c>
      <c r="E40" s="306">
        <f>SUM(E39)</f>
        <v>361536.4</v>
      </c>
      <c r="F40" s="328"/>
      <c r="G40" s="70">
        <f ca="1">'р.3 2017'!F89</f>
        <v>361536.4</v>
      </c>
      <c r="H40" s="94">
        <f>E40-G40</f>
        <v>0</v>
      </c>
    </row>
    <row r="41" spans="1:8" ht="8.25" customHeight="1"/>
    <row r="42" spans="1:8" ht="8.25" hidden="1" customHeight="1"/>
    <row r="43" spans="1:8" ht="13.5" hidden="1" customHeight="1">
      <c r="A43" s="273" t="s">
        <v>559</v>
      </c>
      <c r="B43" s="273"/>
      <c r="C43" s="273"/>
      <c r="D43" s="273"/>
      <c r="E43" s="273"/>
      <c r="F43" s="273"/>
    </row>
    <row r="44" spans="1:8" ht="14.25" hidden="1" customHeight="1">
      <c r="A44" s="273" t="s">
        <v>560</v>
      </c>
      <c r="B44" s="273"/>
      <c r="C44" s="273"/>
      <c r="D44" s="273"/>
      <c r="E44" s="273"/>
      <c r="F44" s="273"/>
    </row>
    <row r="45" spans="1:8" ht="5.25" hidden="1" customHeight="1"/>
    <row r="46" spans="1:8" ht="5.25" hidden="1" customHeight="1">
      <c r="A46" s="260" t="s">
        <v>504</v>
      </c>
      <c r="B46" s="260"/>
      <c r="C46" s="260"/>
      <c r="D46" s="260"/>
      <c r="E46" s="260"/>
      <c r="F46" s="260"/>
    </row>
    <row r="47" spans="1:8" ht="5.25" hidden="1" customHeight="1">
      <c r="A47" s="143" t="s">
        <v>505</v>
      </c>
      <c r="B47" s="96"/>
      <c r="C47" s="96"/>
      <c r="D47" s="96"/>
      <c r="E47" s="96"/>
      <c r="F47" s="96"/>
    </row>
    <row r="48" spans="1:8" ht="5.25" hidden="1" customHeight="1"/>
    <row r="49" spans="1:8" ht="5.25" hidden="1" customHeight="1">
      <c r="A49" s="142" t="s">
        <v>485</v>
      </c>
      <c r="B49" s="261" t="s">
        <v>223</v>
      </c>
      <c r="C49" s="261"/>
      <c r="D49" s="142" t="s">
        <v>556</v>
      </c>
      <c r="E49" s="142" t="s">
        <v>557</v>
      </c>
      <c r="F49" s="142" t="s">
        <v>561</v>
      </c>
    </row>
    <row r="50" spans="1:8" ht="5.25" hidden="1" customHeight="1">
      <c r="A50" s="142">
        <v>1</v>
      </c>
      <c r="B50" s="330">
        <v>2</v>
      </c>
      <c r="C50" s="331"/>
      <c r="D50" s="142">
        <v>3</v>
      </c>
      <c r="E50" s="142">
        <v>4</v>
      </c>
      <c r="F50" s="142">
        <v>5</v>
      </c>
    </row>
    <row r="51" spans="1:8" ht="5.25" hidden="1" customHeight="1">
      <c r="A51" s="142"/>
      <c r="B51" s="330"/>
      <c r="C51" s="331"/>
      <c r="D51" s="142"/>
      <c r="E51" s="142"/>
      <c r="F51" s="142"/>
    </row>
    <row r="52" spans="1:8" ht="5.25" hidden="1" customHeight="1">
      <c r="A52" s="142"/>
      <c r="B52" s="330" t="s">
        <v>493</v>
      </c>
      <c r="C52" s="331"/>
      <c r="D52" s="142" t="s">
        <v>494</v>
      </c>
      <c r="E52" s="142" t="s">
        <v>494</v>
      </c>
      <c r="F52" s="142"/>
    </row>
    <row r="53" spans="1:8" s="72" customFormat="1" ht="5.25" hidden="1" customHeight="1"/>
    <row r="54" spans="1:8" s="72" customFormat="1" ht="12" hidden="1" customHeight="1">
      <c r="A54" s="273" t="s">
        <v>567</v>
      </c>
      <c r="B54" s="273"/>
      <c r="C54" s="273"/>
      <c r="D54" s="273"/>
      <c r="E54" s="273"/>
      <c r="F54" s="273"/>
    </row>
    <row r="55" spans="1:8" s="72" customFormat="1" ht="11.25" hidden="1" customHeight="1">
      <c r="A55" s="273" t="s">
        <v>568</v>
      </c>
      <c r="B55" s="273"/>
      <c r="C55" s="273"/>
      <c r="D55" s="273"/>
      <c r="E55" s="273"/>
      <c r="F55" s="273"/>
    </row>
    <row r="56" spans="1:8" s="72" customFormat="1" ht="5.25" hidden="1" customHeight="1"/>
    <row r="57" spans="1:8" s="72" customFormat="1" ht="5.25" hidden="1" customHeight="1">
      <c r="A57" s="260" t="s">
        <v>504</v>
      </c>
      <c r="B57" s="260"/>
      <c r="C57" s="260"/>
      <c r="D57" s="260"/>
      <c r="E57" s="260"/>
      <c r="F57" s="260"/>
    </row>
    <row r="58" spans="1:8" s="72" customFormat="1" ht="5.25" hidden="1" customHeight="1">
      <c r="A58" s="260" t="s">
        <v>505</v>
      </c>
      <c r="B58" s="260"/>
      <c r="C58" s="260"/>
      <c r="D58" s="260"/>
      <c r="E58" s="260"/>
      <c r="F58" s="260"/>
      <c r="H58" s="72" t="s">
        <v>8</v>
      </c>
    </row>
    <row r="59" spans="1:8" hidden="1"/>
    <row r="60" spans="1:8" ht="5.25" hidden="1" customHeight="1">
      <c r="A60" s="144" t="s">
        <v>485</v>
      </c>
      <c r="B60" s="261" t="s">
        <v>223</v>
      </c>
      <c r="C60" s="261"/>
      <c r="D60" s="144" t="s">
        <v>556</v>
      </c>
      <c r="E60" s="144" t="s">
        <v>557</v>
      </c>
      <c r="F60" s="144" t="s">
        <v>561</v>
      </c>
    </row>
    <row r="61" spans="1:8" ht="5.25" hidden="1" customHeight="1">
      <c r="A61" s="144">
        <v>1</v>
      </c>
      <c r="B61" s="261">
        <v>2</v>
      </c>
      <c r="C61" s="261"/>
      <c r="D61" s="144">
        <v>3</v>
      </c>
      <c r="E61" s="144">
        <v>4</v>
      </c>
      <c r="F61" s="144">
        <v>5</v>
      </c>
    </row>
    <row r="62" spans="1:8" ht="5.25" hidden="1" customHeight="1">
      <c r="A62" s="144"/>
      <c r="B62" s="261"/>
      <c r="C62" s="261"/>
      <c r="D62" s="144"/>
      <c r="E62" s="144"/>
      <c r="F62" s="144"/>
    </row>
    <row r="63" spans="1:8" ht="5.25" hidden="1" customHeight="1">
      <c r="A63" s="144"/>
      <c r="B63" s="261"/>
      <c r="C63" s="261"/>
      <c r="D63" s="144"/>
      <c r="E63" s="144"/>
      <c r="F63" s="144"/>
    </row>
    <row r="64" spans="1:8" ht="5.25" hidden="1" customHeight="1">
      <c r="A64" s="144"/>
      <c r="B64" s="261" t="s">
        <v>493</v>
      </c>
      <c r="C64" s="261"/>
      <c r="D64" s="144" t="s">
        <v>494</v>
      </c>
      <c r="E64" s="144" t="s">
        <v>494</v>
      </c>
      <c r="F64" s="144"/>
    </row>
    <row r="65" spans="1:10" ht="10.5" hidden="1" customHeight="1"/>
    <row r="66" spans="1:10" ht="13.5" hidden="1" customHeight="1">
      <c r="A66" s="318" t="s">
        <v>162</v>
      </c>
      <c r="B66" s="318"/>
      <c r="C66" s="318"/>
      <c r="D66" s="318"/>
      <c r="E66" s="318"/>
      <c r="F66" s="318"/>
    </row>
    <row r="67" spans="1:10" ht="21" hidden="1" customHeight="1">
      <c r="A67" s="144" t="s">
        <v>485</v>
      </c>
      <c r="B67" s="309" t="s">
        <v>497</v>
      </c>
      <c r="C67" s="311"/>
      <c r="D67" s="144" t="s">
        <v>142</v>
      </c>
      <c r="E67" s="261" t="s">
        <v>144</v>
      </c>
      <c r="F67" s="261"/>
    </row>
    <row r="68" spans="1:10" ht="15.75" hidden="1" customHeight="1">
      <c r="A68" s="144">
        <v>1</v>
      </c>
      <c r="B68" s="309">
        <v>2</v>
      </c>
      <c r="C68" s="311"/>
      <c r="D68" s="144">
        <v>3</v>
      </c>
      <c r="E68" s="261">
        <v>4</v>
      </c>
      <c r="F68" s="261"/>
    </row>
    <row r="69" spans="1:10" ht="91.5" hidden="1" customHeight="1">
      <c r="A69" s="144">
        <v>1</v>
      </c>
      <c r="B69" s="309" t="s">
        <v>145</v>
      </c>
      <c r="C69" s="311"/>
      <c r="D69" s="148" t="s">
        <v>161</v>
      </c>
      <c r="E69" s="306">
        <f>655.8-655.8</f>
        <v>0</v>
      </c>
      <c r="F69" s="306"/>
    </row>
    <row r="70" spans="1:10" ht="15.75" hidden="1" customHeight="1">
      <c r="A70" s="144"/>
      <c r="B70" s="309" t="s">
        <v>493</v>
      </c>
      <c r="C70" s="311"/>
      <c r="D70" s="144" t="s">
        <v>494</v>
      </c>
      <c r="E70" s="306">
        <f>SUM(E69)</f>
        <v>0</v>
      </c>
      <c r="F70" s="328"/>
    </row>
    <row r="71" spans="1:10" ht="10.5" hidden="1" customHeight="1"/>
    <row r="72" spans="1:10" ht="10.5" hidden="1" customHeight="1"/>
    <row r="73" spans="1:10" ht="15" customHeight="1">
      <c r="A73" s="273" t="s">
        <v>569</v>
      </c>
      <c r="B73" s="273"/>
      <c r="C73" s="273"/>
      <c r="D73" s="273"/>
      <c r="E73" s="273"/>
      <c r="F73" s="273"/>
    </row>
    <row r="74" spans="1:10" ht="9" customHeight="1">
      <c r="A74" s="273"/>
      <c r="B74" s="273"/>
      <c r="C74" s="273"/>
      <c r="D74" s="273"/>
      <c r="E74" s="273"/>
      <c r="F74" s="273"/>
    </row>
    <row r="75" spans="1:10" ht="16.5" customHeight="1">
      <c r="A75" s="262" t="s">
        <v>211</v>
      </c>
      <c r="B75" s="262"/>
      <c r="C75" s="262"/>
      <c r="D75" s="262"/>
      <c r="E75" s="262"/>
      <c r="F75" s="262"/>
    </row>
    <row r="76" spans="1:10" ht="27" customHeight="1">
      <c r="A76" s="262" t="s">
        <v>172</v>
      </c>
      <c r="B76" s="262"/>
      <c r="C76" s="262"/>
      <c r="D76" s="262"/>
      <c r="E76" s="262"/>
      <c r="F76" s="262"/>
      <c r="G76" s="97"/>
      <c r="H76" s="97"/>
      <c r="I76" s="97"/>
      <c r="J76" s="97"/>
    </row>
    <row r="77" spans="1:10" ht="8.25" customHeight="1">
      <c r="A77" s="273"/>
      <c r="B77" s="273"/>
      <c r="C77" s="273"/>
      <c r="D77" s="273"/>
      <c r="E77" s="273"/>
      <c r="F77" s="273"/>
    </row>
    <row r="78" spans="1:10" ht="15" customHeight="1">
      <c r="A78" s="273" t="s">
        <v>738</v>
      </c>
      <c r="B78" s="273"/>
      <c r="C78" s="273"/>
      <c r="D78" s="273"/>
      <c r="E78" s="273"/>
      <c r="F78" s="273"/>
    </row>
    <row r="79" spans="1:10" ht="8.25" customHeight="1"/>
    <row r="80" spans="1:10" ht="15.5">
      <c r="A80" s="273" t="s">
        <v>739</v>
      </c>
      <c r="B80" s="273"/>
      <c r="C80" s="273"/>
      <c r="D80" s="273"/>
      <c r="E80" s="273"/>
      <c r="F80" s="273"/>
    </row>
    <row r="81" spans="1:9" ht="30" customHeight="1">
      <c r="A81" s="144" t="s">
        <v>485</v>
      </c>
      <c r="B81" s="144" t="s">
        <v>497</v>
      </c>
      <c r="C81" s="144" t="s">
        <v>570</v>
      </c>
      <c r="D81" s="144" t="s">
        <v>571</v>
      </c>
      <c r="E81" s="144" t="s">
        <v>572</v>
      </c>
      <c r="F81" s="144" t="s">
        <v>501</v>
      </c>
    </row>
    <row r="82" spans="1:9" ht="15" customHeight="1">
      <c r="A82" s="144">
        <v>1</v>
      </c>
      <c r="B82" s="144">
        <v>2</v>
      </c>
      <c r="C82" s="144">
        <v>3</v>
      </c>
      <c r="D82" s="144">
        <v>4</v>
      </c>
      <c r="E82" s="144">
        <v>5</v>
      </c>
      <c r="F82" s="144">
        <v>6</v>
      </c>
    </row>
    <row r="83" spans="1:9" ht="26.25" customHeight="1">
      <c r="A83" s="144">
        <v>1</v>
      </c>
      <c r="B83" s="163" t="s">
        <v>101</v>
      </c>
      <c r="C83" s="144">
        <v>1</v>
      </c>
      <c r="D83" s="144">
        <v>12</v>
      </c>
      <c r="E83" s="127">
        <v>1533.33</v>
      </c>
      <c r="F83" s="127">
        <f>ROUND(C83*D83*E83,0)</f>
        <v>18400</v>
      </c>
    </row>
    <row r="84" spans="1:9" ht="15" customHeight="1">
      <c r="A84" s="144"/>
      <c r="B84" s="164" t="s">
        <v>493</v>
      </c>
      <c r="C84" s="144" t="s">
        <v>494</v>
      </c>
      <c r="D84" s="144" t="s">
        <v>494</v>
      </c>
      <c r="E84" s="144" t="s">
        <v>494</v>
      </c>
      <c r="F84" s="127">
        <f>SUM(F83)</f>
        <v>18400</v>
      </c>
      <c r="G84" s="70">
        <f ca="1">'р.3 2017'!D104</f>
        <v>18400</v>
      </c>
      <c r="H84" s="94">
        <f>F84-G84</f>
        <v>0</v>
      </c>
    </row>
    <row r="85" spans="1:9" ht="12.75" customHeight="1">
      <c r="A85" s="98"/>
    </row>
    <row r="86" spans="1:9" ht="15.5">
      <c r="A86" s="273" t="s">
        <v>740</v>
      </c>
      <c r="B86" s="273"/>
      <c r="C86" s="273"/>
      <c r="D86" s="273"/>
      <c r="E86" s="273"/>
      <c r="F86" s="273"/>
    </row>
    <row r="87" spans="1:9" ht="30" customHeight="1">
      <c r="A87" s="144" t="s">
        <v>485</v>
      </c>
      <c r="B87" s="144" t="s">
        <v>497</v>
      </c>
      <c r="C87" s="144" t="s">
        <v>570</v>
      </c>
      <c r="D87" s="144" t="s">
        <v>571</v>
      </c>
      <c r="E87" s="144" t="s">
        <v>572</v>
      </c>
      <c r="F87" s="144" t="s">
        <v>501</v>
      </c>
    </row>
    <row r="88" spans="1:9" ht="15" customHeight="1">
      <c r="A88" s="144">
        <v>1</v>
      </c>
      <c r="B88" s="144">
        <v>2</v>
      </c>
      <c r="C88" s="144">
        <v>3</v>
      </c>
      <c r="D88" s="144">
        <v>4</v>
      </c>
      <c r="E88" s="144">
        <v>5</v>
      </c>
      <c r="F88" s="144">
        <v>6</v>
      </c>
    </row>
    <row r="89" spans="1:9" ht="42.75" customHeight="1">
      <c r="A89" s="144">
        <v>1</v>
      </c>
      <c r="B89" s="163" t="s">
        <v>100</v>
      </c>
      <c r="C89" s="144">
        <v>1</v>
      </c>
      <c r="D89" s="144">
        <v>12</v>
      </c>
      <c r="E89" s="127">
        <v>4000</v>
      </c>
      <c r="F89" s="127">
        <f>ROUND(C89*D89*E89,0)</f>
        <v>48000</v>
      </c>
    </row>
    <row r="90" spans="1:9" ht="15" customHeight="1">
      <c r="A90" s="144"/>
      <c r="B90" s="164" t="s">
        <v>493</v>
      </c>
      <c r="C90" s="144" t="s">
        <v>494</v>
      </c>
      <c r="D90" s="144" t="s">
        <v>494</v>
      </c>
      <c r="E90" s="144" t="s">
        <v>494</v>
      </c>
      <c r="F90" s="127">
        <f>SUM(F89)</f>
        <v>48000</v>
      </c>
      <c r="G90" s="70">
        <f ca="1">'р.3 2017'!D105</f>
        <v>48000</v>
      </c>
      <c r="H90" s="94">
        <f>F90-G90</f>
        <v>0</v>
      </c>
    </row>
    <row r="91" spans="1:9" ht="10.5" customHeight="1">
      <c r="A91" s="98"/>
    </row>
    <row r="92" spans="1:9" ht="10.5" customHeight="1">
      <c r="A92" s="98"/>
    </row>
    <row r="93" spans="1:9" ht="15.5">
      <c r="A93" s="329" t="s">
        <v>134</v>
      </c>
      <c r="B93" s="329"/>
      <c r="C93" s="329"/>
      <c r="D93" s="329"/>
      <c r="E93" s="329"/>
      <c r="F93" s="329"/>
    </row>
    <row r="94" spans="1:9" ht="15" customHeight="1">
      <c r="A94" s="273" t="s">
        <v>573</v>
      </c>
      <c r="B94" s="273"/>
      <c r="C94" s="273"/>
      <c r="D94" s="273"/>
      <c r="E94" s="273"/>
      <c r="F94" s="273"/>
    </row>
    <row r="95" spans="1:9" ht="15.5">
      <c r="A95" s="336" t="s">
        <v>65</v>
      </c>
      <c r="B95" s="336"/>
      <c r="C95" s="336"/>
      <c r="D95" s="336"/>
      <c r="E95" s="336"/>
      <c r="F95" s="336"/>
      <c r="I95" s="70">
        <v>22</v>
      </c>
    </row>
    <row r="96" spans="1:9" ht="30" customHeight="1">
      <c r="A96" s="144" t="s">
        <v>485</v>
      </c>
      <c r="B96" s="261" t="s">
        <v>497</v>
      </c>
      <c r="C96" s="261"/>
      <c r="D96" s="144" t="s">
        <v>574</v>
      </c>
      <c r="E96" s="144" t="s">
        <v>575</v>
      </c>
      <c r="F96" s="144" t="s">
        <v>576</v>
      </c>
    </row>
    <row r="97" spans="1:9" ht="15" customHeight="1">
      <c r="A97" s="144">
        <v>1</v>
      </c>
      <c r="B97" s="261">
        <v>2</v>
      </c>
      <c r="C97" s="261"/>
      <c r="D97" s="144">
        <v>3</v>
      </c>
      <c r="E97" s="144">
        <v>4</v>
      </c>
      <c r="F97" s="144">
        <v>5</v>
      </c>
    </row>
    <row r="98" spans="1:9" ht="31.5" customHeight="1">
      <c r="A98" s="144">
        <v>1</v>
      </c>
      <c r="B98" s="264" t="s">
        <v>67</v>
      </c>
      <c r="C98" s="265"/>
      <c r="D98" s="148">
        <f>12*2+83*2</f>
        <v>190</v>
      </c>
      <c r="E98" s="148">
        <v>3000</v>
      </c>
      <c r="F98" s="148">
        <f>ROUND(D98*E98,0)</f>
        <v>570000</v>
      </c>
      <c r="H98" s="94"/>
    </row>
    <row r="99" spans="1:9" ht="31.5" customHeight="1">
      <c r="A99" s="144">
        <v>2</v>
      </c>
      <c r="B99" s="264" t="s">
        <v>69</v>
      </c>
      <c r="C99" s="265"/>
      <c r="D99" s="148">
        <f>2*2+14*2</f>
        <v>32</v>
      </c>
      <c r="E99" s="148">
        <v>3500</v>
      </c>
      <c r="F99" s="148">
        <f>ROUND(D99*E99,0)</f>
        <v>112000</v>
      </c>
    </row>
    <row r="100" spans="1:9" ht="31.5" customHeight="1">
      <c r="A100" s="144">
        <v>3</v>
      </c>
      <c r="B100" s="264" t="s">
        <v>68</v>
      </c>
      <c r="C100" s="265"/>
      <c r="D100" s="148">
        <f>2+7*2</f>
        <v>16</v>
      </c>
      <c r="E100" s="148">
        <v>3500</v>
      </c>
      <c r="F100" s="148">
        <f>ROUND(D100*E100,0)</f>
        <v>56000</v>
      </c>
    </row>
    <row r="101" spans="1:9" ht="31.5" customHeight="1">
      <c r="A101" s="144">
        <v>4</v>
      </c>
      <c r="B101" s="264" t="s">
        <v>70</v>
      </c>
      <c r="C101" s="265"/>
      <c r="D101" s="148">
        <v>4</v>
      </c>
      <c r="E101" s="148">
        <v>714</v>
      </c>
      <c r="F101" s="148">
        <f>ROUND(D101*E101,0)</f>
        <v>2856</v>
      </c>
      <c r="G101" s="165"/>
    </row>
    <row r="102" spans="1:9" ht="31.5" customHeight="1">
      <c r="A102" s="144">
        <v>5</v>
      </c>
      <c r="B102" s="264" t="s">
        <v>70</v>
      </c>
      <c r="C102" s="265"/>
      <c r="D102" s="148">
        <v>14</v>
      </c>
      <c r="E102" s="148">
        <v>685.26948891625602</v>
      </c>
      <c r="F102" s="148">
        <f>ROUND(D102*E102,0)</f>
        <v>9594</v>
      </c>
    </row>
    <row r="103" spans="1:9" ht="15" customHeight="1">
      <c r="A103" s="144"/>
      <c r="B103" s="261" t="s">
        <v>493</v>
      </c>
      <c r="C103" s="261"/>
      <c r="D103" s="144"/>
      <c r="E103" s="144"/>
      <c r="F103" s="127">
        <f>SUM(F98:F102)</f>
        <v>750450</v>
      </c>
      <c r="G103" s="70">
        <f ca="1">'р.3 2017'!D106</f>
        <v>750450</v>
      </c>
      <c r="H103" s="94">
        <f>G103-F103</f>
        <v>0</v>
      </c>
    </row>
    <row r="104" spans="1:9" ht="10.5" customHeight="1"/>
    <row r="105" spans="1:9" ht="31.5" customHeight="1">
      <c r="A105" s="335" t="s">
        <v>152</v>
      </c>
      <c r="B105" s="335"/>
      <c r="C105" s="335"/>
      <c r="D105" s="335"/>
      <c r="E105" s="335"/>
      <c r="F105" s="335"/>
    </row>
    <row r="106" spans="1:9" ht="18" customHeight="1">
      <c r="A106" s="273" t="s">
        <v>577</v>
      </c>
      <c r="B106" s="273"/>
      <c r="C106" s="273"/>
      <c r="D106" s="273"/>
      <c r="E106" s="273"/>
      <c r="F106" s="273"/>
    </row>
    <row r="107" spans="1:9" ht="9" customHeight="1">
      <c r="A107" s="141"/>
      <c r="B107" s="141"/>
      <c r="C107" s="141"/>
      <c r="D107" s="141"/>
      <c r="E107" s="141"/>
      <c r="F107" s="141"/>
    </row>
    <row r="108" spans="1:9" ht="15.75" customHeight="1">
      <c r="A108" s="321" t="s">
        <v>120</v>
      </c>
      <c r="B108" s="321"/>
      <c r="C108" s="321"/>
      <c r="D108" s="321"/>
      <c r="E108" s="321"/>
      <c r="F108" s="321"/>
      <c r="I108" s="70">
        <v>223</v>
      </c>
    </row>
    <row r="109" spans="1:9" ht="45" customHeight="1">
      <c r="A109" s="144" t="s">
        <v>485</v>
      </c>
      <c r="B109" s="144" t="s">
        <v>223</v>
      </c>
      <c r="C109" s="144" t="s">
        <v>578</v>
      </c>
      <c r="D109" s="144" t="s">
        <v>579</v>
      </c>
      <c r="E109" s="144" t="s">
        <v>580</v>
      </c>
      <c r="F109" s="144" t="s">
        <v>581</v>
      </c>
      <c r="I109" s="95" t="s">
        <v>71</v>
      </c>
    </row>
    <row r="110" spans="1:9" ht="15" customHeight="1">
      <c r="A110" s="144">
        <v>1</v>
      </c>
      <c r="B110" s="144">
        <v>2</v>
      </c>
      <c r="C110" s="144">
        <v>3</v>
      </c>
      <c r="D110" s="144">
        <v>4</v>
      </c>
      <c r="E110" s="144">
        <v>5</v>
      </c>
      <c r="F110" s="144">
        <v>6</v>
      </c>
    </row>
    <row r="111" spans="1:9" ht="25.5" customHeight="1">
      <c r="A111" s="142">
        <v>1</v>
      </c>
      <c r="B111" s="163" t="s">
        <v>124</v>
      </c>
      <c r="C111" s="142">
        <v>114.44499999999999</v>
      </c>
      <c r="D111" s="155">
        <f>ROUND(1984.33*1.18,2)</f>
        <v>2341.5100000000002</v>
      </c>
      <c r="E111" s="142"/>
      <c r="F111" s="148">
        <f>ROUND(C111*D111,0)</f>
        <v>267974</v>
      </c>
    </row>
    <row r="112" spans="1:9" ht="25.5" customHeight="1">
      <c r="A112" s="142">
        <v>2</v>
      </c>
      <c r="B112" s="163" t="s">
        <v>125</v>
      </c>
      <c r="C112" s="142">
        <v>110.76</v>
      </c>
      <c r="D112" s="155">
        <f>ROUND(2109.79*1.18,2)</f>
        <v>2489.5500000000002</v>
      </c>
      <c r="E112" s="144"/>
      <c r="F112" s="148">
        <f>ROUND(C112*D112,2)+1.8</f>
        <v>275744.36</v>
      </c>
      <c r="G112" s="94">
        <f>SUM(F111:F112)</f>
        <v>543718.36</v>
      </c>
      <c r="H112" s="94">
        <f ca="1">'р.3 2017'!D107</f>
        <v>543718.36</v>
      </c>
      <c r="I112" s="94">
        <f>G112-H112</f>
        <v>0</v>
      </c>
    </row>
    <row r="113" spans="1:9" s="128" customFormat="1" ht="15.75" customHeight="1">
      <c r="A113" s="166"/>
      <c r="B113" s="167" t="s">
        <v>650</v>
      </c>
      <c r="C113" s="144" t="s">
        <v>494</v>
      </c>
      <c r="D113" s="144" t="s">
        <v>494</v>
      </c>
      <c r="E113" s="144" t="s">
        <v>494</v>
      </c>
      <c r="F113" s="168">
        <f>SUM(F111:F112)</f>
        <v>543718.36</v>
      </c>
      <c r="G113" s="162"/>
      <c r="I113" s="162"/>
    </row>
    <row r="114" spans="1:9" s="161" customFormat="1" ht="14.25" customHeight="1">
      <c r="A114" s="156"/>
      <c r="B114" s="95"/>
      <c r="C114" s="156"/>
      <c r="D114" s="157"/>
      <c r="E114" s="95"/>
      <c r="F114" s="158"/>
      <c r="G114" s="160"/>
      <c r="I114" s="160"/>
    </row>
    <row r="115" spans="1:9" ht="30" customHeight="1">
      <c r="A115" s="321" t="s">
        <v>121</v>
      </c>
      <c r="B115" s="321"/>
      <c r="C115" s="321"/>
      <c r="D115" s="321"/>
      <c r="E115" s="321"/>
      <c r="F115" s="321"/>
      <c r="G115" s="94"/>
      <c r="I115" s="94"/>
    </row>
    <row r="116" spans="1:9" ht="30.75" customHeight="1">
      <c r="A116" s="144" t="s">
        <v>485</v>
      </c>
      <c r="B116" s="144" t="s">
        <v>223</v>
      </c>
      <c r="C116" s="144" t="s">
        <v>578</v>
      </c>
      <c r="D116" s="144" t="s">
        <v>579</v>
      </c>
      <c r="E116" s="144" t="s">
        <v>580</v>
      </c>
      <c r="F116" s="144" t="s">
        <v>581</v>
      </c>
      <c r="G116" s="94"/>
      <c r="I116" s="94"/>
    </row>
    <row r="117" spans="1:9" ht="15" customHeight="1">
      <c r="A117" s="144">
        <v>1</v>
      </c>
      <c r="B117" s="144">
        <v>2</v>
      </c>
      <c r="C117" s="144">
        <v>3</v>
      </c>
      <c r="D117" s="144">
        <v>4</v>
      </c>
      <c r="E117" s="144">
        <v>5</v>
      </c>
      <c r="F117" s="144">
        <v>6</v>
      </c>
      <c r="G117" s="94"/>
      <c r="I117" s="94"/>
    </row>
    <row r="118" spans="1:9" ht="27.75" customHeight="1">
      <c r="A118" s="169">
        <v>3</v>
      </c>
      <c r="B118" s="170" t="s">
        <v>126</v>
      </c>
      <c r="C118" s="171">
        <v>11067</v>
      </c>
      <c r="D118" s="172">
        <v>3.86</v>
      </c>
      <c r="E118" s="170"/>
      <c r="F118" s="171">
        <f>ROUND(C118*D118,2)</f>
        <v>42718.62</v>
      </c>
      <c r="G118" s="94"/>
    </row>
    <row r="119" spans="1:9" ht="27.75" customHeight="1">
      <c r="A119" s="142">
        <v>4</v>
      </c>
      <c r="B119" s="144" t="s">
        <v>127</v>
      </c>
      <c r="C119" s="142">
        <v>21406.42681932402</v>
      </c>
      <c r="D119" s="155">
        <v>2.96</v>
      </c>
      <c r="E119" s="144"/>
      <c r="F119" s="148">
        <f>ROUND(C119*D119,2)</f>
        <v>63363.02</v>
      </c>
      <c r="G119" s="94">
        <f>F118+F119</f>
        <v>106081.64</v>
      </c>
      <c r="H119" s="94">
        <f ca="1">'р.3 2017'!D108</f>
        <v>106081.64</v>
      </c>
      <c r="I119" s="94">
        <f>G119-H119</f>
        <v>0</v>
      </c>
    </row>
    <row r="120" spans="1:9" ht="16.5" customHeight="1">
      <c r="A120" s="142"/>
      <c r="B120" s="144" t="s">
        <v>493</v>
      </c>
      <c r="C120" s="144" t="s">
        <v>494</v>
      </c>
      <c r="D120" s="144" t="s">
        <v>494</v>
      </c>
      <c r="E120" s="144" t="s">
        <v>494</v>
      </c>
      <c r="F120" s="168">
        <f>SUM(F118:F119)</f>
        <v>106081.64</v>
      </c>
      <c r="G120" s="94"/>
      <c r="I120" s="94"/>
    </row>
    <row r="121" spans="1:9" s="137" customFormat="1" ht="9.75" customHeight="1">
      <c r="A121" s="156"/>
      <c r="B121" s="95"/>
      <c r="C121" s="95"/>
      <c r="D121" s="95"/>
      <c r="E121" s="95"/>
      <c r="F121" s="158"/>
      <c r="G121" s="139"/>
      <c r="I121" s="139"/>
    </row>
    <row r="122" spans="1:9" s="137" customFormat="1" ht="36.75" customHeight="1">
      <c r="A122" s="321" t="s">
        <v>122</v>
      </c>
      <c r="B122" s="321"/>
      <c r="C122" s="321"/>
      <c r="D122" s="321"/>
      <c r="E122" s="321"/>
      <c r="F122" s="321"/>
      <c r="G122" s="139"/>
      <c r="I122" s="139"/>
    </row>
    <row r="123" spans="1:9" s="137" customFormat="1" ht="30" customHeight="1">
      <c r="A123" s="144" t="s">
        <v>485</v>
      </c>
      <c r="B123" s="144" t="s">
        <v>223</v>
      </c>
      <c r="C123" s="144" t="s">
        <v>578</v>
      </c>
      <c r="D123" s="144" t="s">
        <v>579</v>
      </c>
      <c r="E123" s="144" t="s">
        <v>580</v>
      </c>
      <c r="F123" s="144" t="s">
        <v>581</v>
      </c>
      <c r="G123" s="139"/>
      <c r="I123" s="139"/>
    </row>
    <row r="124" spans="1:9" s="137" customFormat="1" ht="20.25" customHeight="1">
      <c r="A124" s="144">
        <v>1</v>
      </c>
      <c r="B124" s="144">
        <v>2</v>
      </c>
      <c r="C124" s="144">
        <v>3</v>
      </c>
      <c r="D124" s="144">
        <v>4</v>
      </c>
      <c r="E124" s="144">
        <v>5</v>
      </c>
      <c r="F124" s="144">
        <v>6</v>
      </c>
      <c r="G124" s="139"/>
      <c r="I124" s="139"/>
    </row>
    <row r="125" spans="1:9" ht="42" customHeight="1">
      <c r="A125" s="169">
        <v>5</v>
      </c>
      <c r="B125" s="170" t="s">
        <v>128</v>
      </c>
      <c r="C125" s="169">
        <v>54</v>
      </c>
      <c r="D125" s="172">
        <f>64.94*1.18</f>
        <v>76.629199999999997</v>
      </c>
      <c r="E125" s="170"/>
      <c r="F125" s="171">
        <f>ROUND(C125*D125,1)</f>
        <v>4138</v>
      </c>
      <c r="G125" s="94"/>
    </row>
    <row r="126" spans="1:9" ht="42" customHeight="1">
      <c r="A126" s="142">
        <v>6</v>
      </c>
      <c r="B126" s="144" t="s">
        <v>129</v>
      </c>
      <c r="C126" s="142">
        <f>14+58.592</f>
        <v>72.591999999999999</v>
      </c>
      <c r="D126" s="155">
        <f>70.77*1.18</f>
        <v>83.508599999999987</v>
      </c>
      <c r="E126" s="144"/>
      <c r="F126" s="148">
        <f>ROUND(C126*D126,0)</f>
        <v>6062</v>
      </c>
      <c r="G126" s="94">
        <f>SUM(F125:F126)</f>
        <v>10200</v>
      </c>
      <c r="H126" s="70">
        <f ca="1">'р.3 2017'!D109</f>
        <v>10200</v>
      </c>
      <c r="I126" s="94">
        <f>G126-H126</f>
        <v>0</v>
      </c>
    </row>
    <row r="127" spans="1:9" ht="20.25" customHeight="1">
      <c r="A127" s="142"/>
      <c r="B127" s="144" t="s">
        <v>493</v>
      </c>
      <c r="C127" s="144" t="s">
        <v>494</v>
      </c>
      <c r="D127" s="144" t="s">
        <v>494</v>
      </c>
      <c r="E127" s="144" t="s">
        <v>494</v>
      </c>
      <c r="F127" s="168">
        <f>SUM(F125:F126)</f>
        <v>10200</v>
      </c>
      <c r="G127" s="94"/>
      <c r="I127" s="94"/>
    </row>
    <row r="128" spans="1:9" ht="10.5" customHeight="1">
      <c r="A128" s="156"/>
      <c r="B128" s="95"/>
      <c r="C128" s="95"/>
      <c r="D128" s="95"/>
      <c r="E128" s="95"/>
      <c r="F128" s="173"/>
      <c r="G128" s="94"/>
      <c r="I128" s="94"/>
    </row>
    <row r="129" spans="1:9" s="137" customFormat="1" ht="30.75" customHeight="1">
      <c r="A129" s="321" t="s">
        <v>123</v>
      </c>
      <c r="B129" s="321"/>
      <c r="C129" s="321"/>
      <c r="D129" s="321"/>
      <c r="E129" s="321"/>
      <c r="F129" s="321"/>
      <c r="G129" s="139"/>
      <c r="I129" s="139"/>
    </row>
    <row r="130" spans="1:9" ht="32.25" customHeight="1">
      <c r="A130" s="144" t="s">
        <v>485</v>
      </c>
      <c r="B130" s="144" t="s">
        <v>223</v>
      </c>
      <c r="C130" s="144" t="s">
        <v>578</v>
      </c>
      <c r="D130" s="144" t="s">
        <v>579</v>
      </c>
      <c r="E130" s="144" t="s">
        <v>580</v>
      </c>
      <c r="F130" s="144" t="s">
        <v>581</v>
      </c>
      <c r="G130" s="94"/>
      <c r="I130" s="94"/>
    </row>
    <row r="131" spans="1:9" ht="20.25" customHeight="1">
      <c r="A131" s="144">
        <v>1</v>
      </c>
      <c r="B131" s="144">
        <v>2</v>
      </c>
      <c r="C131" s="144">
        <v>3</v>
      </c>
      <c r="D131" s="144">
        <v>4</v>
      </c>
      <c r="E131" s="144">
        <v>5</v>
      </c>
      <c r="F131" s="144">
        <v>6</v>
      </c>
      <c r="G131" s="94"/>
      <c r="I131" s="94"/>
    </row>
    <row r="132" spans="1:9" ht="43.5" customHeight="1">
      <c r="A132" s="142">
        <v>7</v>
      </c>
      <c r="B132" s="144" t="s">
        <v>130</v>
      </c>
      <c r="C132" s="142">
        <v>54</v>
      </c>
      <c r="D132" s="155">
        <f>ROUND(70.99*1.18,2)</f>
        <v>83.77</v>
      </c>
      <c r="E132" s="144"/>
      <c r="F132" s="148">
        <f>ROUND(C132*D132,0)</f>
        <v>4524</v>
      </c>
      <c r="G132" s="94"/>
    </row>
    <row r="133" spans="1:9" ht="43.5" customHeight="1">
      <c r="A133" s="142">
        <v>8</v>
      </c>
      <c r="B133" s="144" t="s">
        <v>131</v>
      </c>
      <c r="C133" s="142">
        <f>14+59.08</f>
        <v>73.08</v>
      </c>
      <c r="D133" s="148">
        <f>ROUND(85.54*1.18,3)</f>
        <v>100.937</v>
      </c>
      <c r="E133" s="142"/>
      <c r="F133" s="148">
        <f>ROUND(C133*D133,0)</f>
        <v>7376</v>
      </c>
      <c r="G133" s="124">
        <f>SUM(F132:F133)</f>
        <v>11900</v>
      </c>
      <c r="H133" s="124">
        <f ca="1">'р.3 2017'!D110</f>
        <v>11900</v>
      </c>
      <c r="I133" s="90">
        <f>H133-G133</f>
        <v>0</v>
      </c>
    </row>
    <row r="134" spans="1:9" ht="15" hidden="1" customHeight="1">
      <c r="A134" s="144"/>
      <c r="B134" s="144"/>
      <c r="C134" s="144"/>
      <c r="D134" s="127"/>
      <c r="E134" s="144"/>
      <c r="F134" s="127"/>
    </row>
    <row r="135" spans="1:9" ht="15" hidden="1" customHeight="1">
      <c r="A135" s="144"/>
      <c r="B135" s="144"/>
      <c r="C135" s="144"/>
      <c r="D135" s="127"/>
      <c r="E135" s="144"/>
      <c r="F135" s="127"/>
    </row>
    <row r="136" spans="1:9" s="128" customFormat="1" ht="15" customHeight="1">
      <c r="A136" s="167"/>
      <c r="B136" s="178" t="s">
        <v>493</v>
      </c>
      <c r="C136" s="167" t="s">
        <v>494</v>
      </c>
      <c r="D136" s="167" t="s">
        <v>494</v>
      </c>
      <c r="E136" s="167" t="s">
        <v>494</v>
      </c>
      <c r="F136" s="174">
        <f>SUM(F132:F135)</f>
        <v>11900</v>
      </c>
    </row>
    <row r="138" spans="1:9" ht="15.5" hidden="1">
      <c r="A138" s="273" t="s">
        <v>582</v>
      </c>
      <c r="B138" s="273"/>
      <c r="C138" s="273"/>
      <c r="D138" s="273"/>
      <c r="E138" s="273"/>
      <c r="F138" s="273"/>
    </row>
    <row r="139" spans="1:9" hidden="1">
      <c r="I139" s="70">
        <v>224</v>
      </c>
    </row>
    <row r="140" spans="1:9" ht="35.15" hidden="1" customHeight="1">
      <c r="A140" s="144" t="s">
        <v>485</v>
      </c>
      <c r="B140" s="261" t="s">
        <v>223</v>
      </c>
      <c r="C140" s="261"/>
      <c r="D140" s="144" t="s">
        <v>583</v>
      </c>
      <c r="E140" s="144" t="s">
        <v>584</v>
      </c>
      <c r="F140" s="144" t="s">
        <v>585</v>
      </c>
    </row>
    <row r="141" spans="1:9" ht="15" hidden="1" customHeight="1">
      <c r="A141" s="144">
        <v>1</v>
      </c>
      <c r="B141" s="261">
        <v>2</v>
      </c>
      <c r="C141" s="261"/>
      <c r="D141" s="144">
        <v>3</v>
      </c>
      <c r="E141" s="144">
        <v>4</v>
      </c>
      <c r="F141" s="144">
        <v>5</v>
      </c>
    </row>
    <row r="142" spans="1:9" ht="15" hidden="1" customHeight="1">
      <c r="A142" s="144"/>
      <c r="B142" s="261"/>
      <c r="C142" s="261"/>
      <c r="D142" s="144"/>
      <c r="E142" s="144"/>
      <c r="F142" s="144"/>
    </row>
    <row r="143" spans="1:9" ht="15" hidden="1" customHeight="1">
      <c r="A143" s="144"/>
      <c r="B143" s="261" t="s">
        <v>493</v>
      </c>
      <c r="C143" s="261"/>
      <c r="D143" s="144" t="s">
        <v>494</v>
      </c>
      <c r="E143" s="144" t="s">
        <v>494</v>
      </c>
      <c r="F143" s="144" t="s">
        <v>494</v>
      </c>
    </row>
    <row r="144" spans="1:9" hidden="1"/>
    <row r="145" spans="1:10" ht="13.5" customHeight="1">
      <c r="A145" s="273" t="s">
        <v>586</v>
      </c>
      <c r="B145" s="273"/>
      <c r="C145" s="273"/>
      <c r="D145" s="273"/>
      <c r="E145" s="273"/>
      <c r="F145" s="273"/>
      <c r="I145" s="70">
        <v>225</v>
      </c>
    </row>
    <row r="146" spans="1:10" ht="15.5">
      <c r="A146" s="273" t="s">
        <v>587</v>
      </c>
      <c r="B146" s="273"/>
      <c r="C146" s="273"/>
      <c r="D146" s="273"/>
      <c r="E146" s="273"/>
      <c r="F146" s="273"/>
    </row>
    <row r="147" spans="1:10" ht="9.75" customHeight="1">
      <c r="A147" s="141"/>
      <c r="B147" s="141"/>
      <c r="C147" s="141"/>
      <c r="D147" s="141"/>
      <c r="E147" s="141"/>
      <c r="F147" s="141"/>
    </row>
    <row r="148" spans="1:10" ht="32.25" customHeight="1">
      <c r="A148" s="270" t="s">
        <v>147</v>
      </c>
      <c r="B148" s="270"/>
      <c r="C148" s="270"/>
      <c r="D148" s="270"/>
      <c r="E148" s="270"/>
      <c r="F148" s="270"/>
    </row>
    <row r="149" spans="1:10" ht="8.25" customHeight="1"/>
    <row r="150" spans="1:10" ht="30" customHeight="1">
      <c r="A150" s="144" t="s">
        <v>485</v>
      </c>
      <c r="B150" s="261" t="s">
        <v>497</v>
      </c>
      <c r="C150" s="261"/>
      <c r="D150" s="144" t="s">
        <v>588</v>
      </c>
      <c r="E150" s="144" t="s">
        <v>589</v>
      </c>
      <c r="F150" s="144" t="s">
        <v>590</v>
      </c>
      <c r="J150" s="129"/>
    </row>
    <row r="151" spans="1:10" ht="15" customHeight="1">
      <c r="A151" s="144">
        <v>1</v>
      </c>
      <c r="B151" s="261">
        <v>2</v>
      </c>
      <c r="C151" s="261"/>
      <c r="D151" s="144">
        <v>3</v>
      </c>
      <c r="E151" s="144">
        <v>4</v>
      </c>
      <c r="F151" s="144">
        <v>5</v>
      </c>
    </row>
    <row r="152" spans="1:10" s="93" customFormat="1" ht="28.5" customHeight="1">
      <c r="A152" s="142">
        <v>1</v>
      </c>
      <c r="B152" s="290" t="s">
        <v>81</v>
      </c>
      <c r="C152" s="290"/>
      <c r="D152" s="142" t="s">
        <v>80</v>
      </c>
      <c r="E152" s="142">
        <v>1</v>
      </c>
      <c r="F152" s="148">
        <f>599757.72-361536.4</f>
        <v>238221.31999999995</v>
      </c>
      <c r="G152" s="93">
        <f ca="1">'р.3 2017'!F112</f>
        <v>238221.31999999995</v>
      </c>
      <c r="H152" s="130">
        <f>F152-G152</f>
        <v>0</v>
      </c>
    </row>
    <row r="153" spans="1:10" ht="28.5" customHeight="1">
      <c r="A153" s="144">
        <v>2</v>
      </c>
      <c r="B153" s="290" t="s">
        <v>72</v>
      </c>
      <c r="C153" s="290"/>
      <c r="D153" s="142" t="s">
        <v>80</v>
      </c>
      <c r="E153" s="142">
        <v>1</v>
      </c>
      <c r="F153" s="148">
        <f>306300-306300</f>
        <v>0</v>
      </c>
      <c r="G153" s="70">
        <f ca="1">'р.3 2017'!N112</f>
        <v>0</v>
      </c>
      <c r="H153" s="130">
        <f>F153-G153</f>
        <v>0</v>
      </c>
      <c r="J153" s="70" t="s">
        <v>150</v>
      </c>
    </row>
    <row r="154" spans="1:10" s="128" customFormat="1" ht="15" customHeight="1">
      <c r="A154" s="167"/>
      <c r="B154" s="319" t="s">
        <v>493</v>
      </c>
      <c r="C154" s="319"/>
      <c r="D154" s="167" t="s">
        <v>494</v>
      </c>
      <c r="E154" s="167" t="s">
        <v>494</v>
      </c>
      <c r="F154" s="174">
        <f>SUM(F152:F153)</f>
        <v>238221.31999999995</v>
      </c>
      <c r="G154" s="128">
        <f ca="1">'р.3 2017'!D112</f>
        <v>238221.31999999995</v>
      </c>
      <c r="H154" s="130">
        <f>F154-G154</f>
        <v>0</v>
      </c>
    </row>
    <row r="155" spans="1:10" s="128" customFormat="1" ht="36" customHeight="1">
      <c r="A155" s="334" t="s">
        <v>151</v>
      </c>
      <c r="B155" s="334"/>
      <c r="C155" s="334"/>
      <c r="D155" s="334"/>
      <c r="E155" s="334"/>
      <c r="F155" s="334"/>
      <c r="H155" s="130"/>
    </row>
    <row r="156" spans="1:10" ht="10.5" customHeight="1"/>
    <row r="157" spans="1:10" ht="29.25" customHeight="1">
      <c r="A157" s="270" t="s">
        <v>74</v>
      </c>
      <c r="B157" s="270"/>
      <c r="C157" s="270"/>
      <c r="D157" s="270"/>
      <c r="E157" s="270"/>
      <c r="F157" s="270"/>
    </row>
    <row r="159" spans="1:10" ht="31.5" customHeight="1">
      <c r="A159" s="144" t="s">
        <v>485</v>
      </c>
      <c r="B159" s="261" t="s">
        <v>497</v>
      </c>
      <c r="C159" s="261"/>
      <c r="D159" s="144" t="s">
        <v>588</v>
      </c>
      <c r="E159" s="144" t="s">
        <v>589</v>
      </c>
      <c r="F159" s="144" t="s">
        <v>590</v>
      </c>
    </row>
    <row r="160" spans="1:10">
      <c r="A160" s="144">
        <v>1</v>
      </c>
      <c r="B160" s="261">
        <v>2</v>
      </c>
      <c r="C160" s="261"/>
      <c r="D160" s="144">
        <v>3</v>
      </c>
      <c r="E160" s="144">
        <v>4</v>
      </c>
      <c r="F160" s="144">
        <v>5</v>
      </c>
    </row>
    <row r="161" spans="1:8" ht="30" customHeight="1">
      <c r="A161" s="142">
        <v>1</v>
      </c>
      <c r="B161" s="290" t="s">
        <v>79</v>
      </c>
      <c r="C161" s="290"/>
      <c r="D161" s="142" t="s">
        <v>80</v>
      </c>
      <c r="E161" s="142">
        <v>1</v>
      </c>
      <c r="F161" s="148">
        <f>306300-4550</f>
        <v>301750</v>
      </c>
    </row>
    <row r="162" spans="1:8">
      <c r="A162" s="167"/>
      <c r="B162" s="319" t="s">
        <v>493</v>
      </c>
      <c r="C162" s="319"/>
      <c r="D162" s="167" t="s">
        <v>494</v>
      </c>
      <c r="E162" s="167" t="s">
        <v>494</v>
      </c>
      <c r="F162" s="174">
        <f>SUM(F161:F161)</f>
        <v>301750</v>
      </c>
      <c r="G162" s="70">
        <f ca="1">'р.3 2017'!D113</f>
        <v>301750</v>
      </c>
      <c r="H162" s="94">
        <f>F162-G162</f>
        <v>0</v>
      </c>
    </row>
    <row r="163" spans="1:8">
      <c r="A163" s="131"/>
      <c r="B163" s="132"/>
      <c r="C163" s="132"/>
      <c r="D163" s="131"/>
      <c r="E163" s="131"/>
      <c r="F163" s="133"/>
    </row>
    <row r="164" spans="1:8" s="137" customFormat="1" ht="30.75" customHeight="1">
      <c r="A164" s="270" t="s">
        <v>216</v>
      </c>
      <c r="B164" s="270"/>
      <c r="C164" s="270"/>
      <c r="D164" s="270"/>
      <c r="E164" s="270"/>
      <c r="F164" s="270"/>
    </row>
    <row r="165" spans="1:8" s="137" customFormat="1">
      <c r="A165" s="70"/>
      <c r="B165" s="70"/>
      <c r="C165" s="70"/>
      <c r="D165" s="70"/>
      <c r="E165" s="70"/>
      <c r="F165" s="70"/>
    </row>
    <row r="166" spans="1:8" s="137" customFormat="1" ht="32.25" customHeight="1">
      <c r="A166" s="144" t="s">
        <v>485</v>
      </c>
      <c r="B166" s="261" t="s">
        <v>497</v>
      </c>
      <c r="C166" s="261"/>
      <c r="D166" s="144" t="s">
        <v>588</v>
      </c>
      <c r="E166" s="144" t="s">
        <v>589</v>
      </c>
      <c r="F166" s="144" t="s">
        <v>590</v>
      </c>
    </row>
    <row r="167" spans="1:8" s="137" customFormat="1">
      <c r="A167" s="144">
        <v>1</v>
      </c>
      <c r="B167" s="261">
        <v>2</v>
      </c>
      <c r="C167" s="261"/>
      <c r="D167" s="144">
        <v>3</v>
      </c>
      <c r="E167" s="144">
        <v>4</v>
      </c>
      <c r="F167" s="144">
        <v>5</v>
      </c>
    </row>
    <row r="168" spans="1:8" s="137" customFormat="1" ht="29.25" customHeight="1">
      <c r="A168" s="315" t="s">
        <v>217</v>
      </c>
      <c r="B168" s="316"/>
      <c r="C168" s="316"/>
      <c r="D168" s="316"/>
      <c r="E168" s="316"/>
      <c r="F168" s="317"/>
    </row>
    <row r="169" spans="1:8" s="137" customFormat="1" ht="29.25" customHeight="1">
      <c r="A169" s="144">
        <v>1</v>
      </c>
      <c r="B169" s="322" t="s">
        <v>85</v>
      </c>
      <c r="C169" s="323"/>
      <c r="D169" s="280" t="s">
        <v>76</v>
      </c>
      <c r="E169" s="142">
        <v>2</v>
      </c>
      <c r="F169" s="155">
        <f>ROUND(12716.62,2)</f>
        <v>12716.62</v>
      </c>
    </row>
    <row r="170" spans="1:8" s="138" customFormat="1" ht="30.75" customHeight="1">
      <c r="A170" s="163">
        <v>2</v>
      </c>
      <c r="B170" s="322" t="s">
        <v>78</v>
      </c>
      <c r="C170" s="323"/>
      <c r="D170" s="344"/>
      <c r="E170" s="142">
        <v>12</v>
      </c>
      <c r="F170" s="148">
        <f>ROUND(3808.73*12,2)</f>
        <v>45704.76</v>
      </c>
      <c r="G170" s="147" t="s">
        <v>84</v>
      </c>
    </row>
    <row r="171" spans="1:8" s="138" customFormat="1" ht="29.25" customHeight="1">
      <c r="A171" s="216">
        <v>3</v>
      </c>
      <c r="B171" s="324" t="s">
        <v>82</v>
      </c>
      <c r="C171" s="325"/>
      <c r="D171" s="344"/>
      <c r="E171" s="159">
        <v>12</v>
      </c>
      <c r="F171" s="206">
        <f>ROUND((80.85+115.5)*12,2)-284.48</f>
        <v>2071.7199999999998</v>
      </c>
    </row>
    <row r="172" spans="1:8" s="138" customFormat="1" ht="22.5" customHeight="1">
      <c r="A172" s="216">
        <v>4</v>
      </c>
      <c r="B172" s="339"/>
      <c r="C172" s="340"/>
      <c r="D172" s="281"/>
      <c r="E172" s="159"/>
      <c r="F172" s="206"/>
    </row>
    <row r="173" spans="1:8" s="218" customFormat="1" ht="18" customHeight="1">
      <c r="A173" s="167"/>
      <c r="B173" s="319" t="s">
        <v>493</v>
      </c>
      <c r="C173" s="319"/>
      <c r="D173" s="167" t="s">
        <v>494</v>
      </c>
      <c r="E173" s="167" t="s">
        <v>494</v>
      </c>
      <c r="F173" s="168">
        <f>SUM(F169:F171)</f>
        <v>60493.100000000006</v>
      </c>
      <c r="G173" s="221">
        <f ca="1">'р.3 2017'!H114</f>
        <v>60493.1</v>
      </c>
      <c r="H173" s="219">
        <f>F173-G173</f>
        <v>0</v>
      </c>
    </row>
    <row r="174" spans="1:8" s="138" customFormat="1" ht="18" customHeight="1">
      <c r="A174" s="315" t="s">
        <v>218</v>
      </c>
      <c r="B174" s="316"/>
      <c r="C174" s="316"/>
      <c r="D174" s="316"/>
      <c r="E174" s="316"/>
      <c r="F174" s="317"/>
      <c r="G174" s="222"/>
    </row>
    <row r="175" spans="1:8" s="138" customFormat="1" ht="33" customHeight="1">
      <c r="A175" s="163">
        <v>3</v>
      </c>
      <c r="B175" s="345" t="s">
        <v>82</v>
      </c>
      <c r="C175" s="345"/>
      <c r="D175" s="346" t="s">
        <v>76</v>
      </c>
      <c r="E175" s="142">
        <v>1</v>
      </c>
      <c r="F175" s="142">
        <v>284.48</v>
      </c>
      <c r="G175" s="222"/>
    </row>
    <row r="176" spans="1:8" s="220" customFormat="1" ht="78" customHeight="1">
      <c r="A176" s="169">
        <v>4</v>
      </c>
      <c r="B176" s="326" t="s">
        <v>83</v>
      </c>
      <c r="C176" s="327"/>
      <c r="D176" s="347"/>
      <c r="E176" s="169">
        <v>12</v>
      </c>
      <c r="F176" s="171">
        <f>ROUND((25.49+94.5)*12,2)-0.12</f>
        <v>1439.7600000000002</v>
      </c>
      <c r="G176" s="223"/>
    </row>
    <row r="177" spans="1:11" s="138" customFormat="1" ht="18" customHeight="1">
      <c r="A177" s="167"/>
      <c r="B177" s="319" t="s">
        <v>493</v>
      </c>
      <c r="C177" s="319"/>
      <c r="D177" s="167" t="s">
        <v>494</v>
      </c>
      <c r="E177" s="167" t="s">
        <v>494</v>
      </c>
      <c r="F177" s="168">
        <f>SUM(F175:F176)</f>
        <v>1724.2400000000002</v>
      </c>
      <c r="G177" s="222">
        <f ca="1">'р.3 2017'!F114</f>
        <v>1724.24</v>
      </c>
      <c r="H177" s="217">
        <f>G177-F177</f>
        <v>0</v>
      </c>
    </row>
    <row r="178" spans="1:11" s="137" customFormat="1">
      <c r="A178" s="167"/>
      <c r="B178" s="319" t="s">
        <v>219</v>
      </c>
      <c r="C178" s="319"/>
      <c r="D178" s="167" t="s">
        <v>494</v>
      </c>
      <c r="E178" s="167" t="s">
        <v>494</v>
      </c>
      <c r="F178" s="174">
        <f>F177+F173</f>
        <v>62217.340000000004</v>
      </c>
      <c r="G178" s="224">
        <f ca="1">'р.3 2017'!E114</f>
        <v>62217.34</v>
      </c>
      <c r="H178" s="139">
        <f>F178-G178</f>
        <v>0</v>
      </c>
    </row>
    <row r="179" spans="1:11" s="137" customFormat="1">
      <c r="A179" s="134"/>
      <c r="B179" s="135"/>
      <c r="C179" s="135"/>
      <c r="D179" s="134"/>
      <c r="E179" s="134"/>
      <c r="F179" s="136"/>
    </row>
    <row r="180" spans="1:11" s="137" customFormat="1" ht="21" customHeight="1">
      <c r="A180" s="270" t="s">
        <v>77</v>
      </c>
      <c r="B180" s="270"/>
      <c r="C180" s="270"/>
      <c r="D180" s="270"/>
      <c r="E180" s="270"/>
      <c r="F180" s="270"/>
    </row>
    <row r="181" spans="1:11" s="137" customFormat="1" ht="3.75" customHeight="1">
      <c r="A181" s="70"/>
      <c r="B181" s="70"/>
      <c r="C181" s="70"/>
      <c r="D181" s="70"/>
      <c r="E181" s="70"/>
      <c r="F181" s="70"/>
    </row>
    <row r="182" spans="1:11" s="137" customFormat="1" ht="30" customHeight="1">
      <c r="A182" s="144" t="s">
        <v>485</v>
      </c>
      <c r="B182" s="261" t="s">
        <v>497</v>
      </c>
      <c r="C182" s="261"/>
      <c r="D182" s="144" t="s">
        <v>588</v>
      </c>
      <c r="E182" s="144" t="s">
        <v>589</v>
      </c>
      <c r="F182" s="144" t="s">
        <v>590</v>
      </c>
    </row>
    <row r="183" spans="1:11" s="137" customFormat="1">
      <c r="A183" s="144">
        <v>1</v>
      </c>
      <c r="B183" s="261">
        <v>2</v>
      </c>
      <c r="C183" s="261"/>
      <c r="D183" s="144">
        <v>3</v>
      </c>
      <c r="E183" s="144">
        <v>4</v>
      </c>
      <c r="F183" s="144">
        <v>5</v>
      </c>
    </row>
    <row r="184" spans="1:11" s="140" customFormat="1" ht="35.25" customHeight="1">
      <c r="A184" s="142">
        <v>1</v>
      </c>
      <c r="B184" s="337" t="s">
        <v>86</v>
      </c>
      <c r="C184" s="338"/>
      <c r="D184" s="280" t="s">
        <v>76</v>
      </c>
      <c r="E184" s="142">
        <v>12</v>
      </c>
      <c r="F184" s="148">
        <f>ROUND(2031.69*12,2)</f>
        <v>24380.28</v>
      </c>
      <c r="K184" s="146" t="s">
        <v>88</v>
      </c>
    </row>
    <row r="185" spans="1:11" s="137" customFormat="1" ht="44.25" customHeight="1">
      <c r="A185" s="142">
        <v>2</v>
      </c>
      <c r="B185" s="339" t="s">
        <v>87</v>
      </c>
      <c r="C185" s="340"/>
      <c r="D185" s="344"/>
      <c r="E185" s="142">
        <v>12</v>
      </c>
      <c r="F185" s="148">
        <f>ROUND(727.08*12,2)</f>
        <v>8724.9599999999991</v>
      </c>
    </row>
    <row r="186" spans="1:11" s="137" customFormat="1" ht="17.25" customHeight="1">
      <c r="A186" s="142">
        <v>3</v>
      </c>
      <c r="B186" s="341" t="s">
        <v>204</v>
      </c>
      <c r="C186" s="342"/>
      <c r="D186" s="344"/>
      <c r="E186" s="142">
        <v>2</v>
      </c>
      <c r="F186" s="148">
        <v>9094.76</v>
      </c>
    </row>
    <row r="187" spans="1:11" s="140" customFormat="1" ht="16.5" customHeight="1">
      <c r="A187" s="142">
        <v>4</v>
      </c>
      <c r="B187" s="341" t="s">
        <v>119</v>
      </c>
      <c r="C187" s="342"/>
      <c r="D187" s="281"/>
      <c r="E187" s="142">
        <v>20</v>
      </c>
      <c r="F187" s="148">
        <f>20*500</f>
        <v>10000</v>
      </c>
    </row>
    <row r="188" spans="1:11" s="137" customFormat="1">
      <c r="A188" s="167"/>
      <c r="B188" s="319" t="s">
        <v>493</v>
      </c>
      <c r="C188" s="319"/>
      <c r="D188" s="167" t="s">
        <v>494</v>
      </c>
      <c r="E188" s="167" t="s">
        <v>494</v>
      </c>
      <c r="F188" s="174">
        <f>SUM(F184:F187)</f>
        <v>52200</v>
      </c>
      <c r="G188" s="137">
        <f ca="1">'р.3 2017'!H116</f>
        <v>52200</v>
      </c>
      <c r="H188" s="139">
        <f>F188-G188</f>
        <v>0</v>
      </c>
    </row>
    <row r="189" spans="1:11" s="137" customFormat="1" ht="7.5" customHeight="1">
      <c r="A189" s="134"/>
      <c r="B189" s="135"/>
      <c r="C189" s="135"/>
      <c r="D189" s="134"/>
      <c r="E189" s="134"/>
      <c r="F189" s="136"/>
    </row>
    <row r="190" spans="1:11" ht="20.25" customHeight="1">
      <c r="A190" s="270" t="s">
        <v>98</v>
      </c>
      <c r="B190" s="270"/>
      <c r="C190" s="270"/>
      <c r="D190" s="270"/>
      <c r="E190" s="270"/>
      <c r="F190" s="270"/>
    </row>
    <row r="191" spans="1:11" ht="9" customHeight="1">
      <c r="I191" s="70">
        <v>226</v>
      </c>
    </row>
    <row r="192" spans="1:11" ht="31.5" customHeight="1">
      <c r="A192" s="144" t="s">
        <v>485</v>
      </c>
      <c r="B192" s="261" t="s">
        <v>497</v>
      </c>
      <c r="C192" s="261"/>
      <c r="D192" s="144" t="s">
        <v>588</v>
      </c>
      <c r="E192" s="144" t="s">
        <v>589</v>
      </c>
      <c r="F192" s="144" t="s">
        <v>590</v>
      </c>
    </row>
    <row r="193" spans="1:9" ht="15" customHeight="1">
      <c r="A193" s="144">
        <v>1</v>
      </c>
      <c r="B193" s="261">
        <v>2</v>
      </c>
      <c r="C193" s="261"/>
      <c r="D193" s="144">
        <v>3</v>
      </c>
      <c r="E193" s="144">
        <v>4</v>
      </c>
      <c r="F193" s="144">
        <v>5</v>
      </c>
    </row>
    <row r="194" spans="1:9" ht="75.75" customHeight="1">
      <c r="A194" s="142">
        <v>1</v>
      </c>
      <c r="B194" s="337" t="s">
        <v>89</v>
      </c>
      <c r="C194" s="338"/>
      <c r="D194" s="175" t="s">
        <v>76</v>
      </c>
      <c r="E194" s="142">
        <v>12</v>
      </c>
      <c r="F194" s="148">
        <f>ROUND((1829+206)*12,2)</f>
        <v>24420</v>
      </c>
    </row>
    <row r="195" spans="1:9" ht="74.25" customHeight="1">
      <c r="A195" s="163">
        <v>2</v>
      </c>
      <c r="B195" s="337" t="s">
        <v>91</v>
      </c>
      <c r="C195" s="338"/>
      <c r="D195" s="159" t="s">
        <v>90</v>
      </c>
      <c r="E195" s="142">
        <v>12</v>
      </c>
      <c r="F195" s="148">
        <f>ROUND((3514.17),1)*12-0.7</f>
        <v>42169.7</v>
      </c>
    </row>
    <row r="196" spans="1:9" ht="15" customHeight="1">
      <c r="A196" s="167"/>
      <c r="B196" s="319" t="s">
        <v>493</v>
      </c>
      <c r="C196" s="319"/>
      <c r="D196" s="167" t="s">
        <v>494</v>
      </c>
      <c r="E196" s="167" t="s">
        <v>494</v>
      </c>
      <c r="F196" s="174">
        <f>SUM(F194:F195)</f>
        <v>66589.7</v>
      </c>
      <c r="G196" s="124">
        <f ca="1">'р.3 2017'!J116</f>
        <v>66589.7</v>
      </c>
      <c r="H196" s="94">
        <f>F196-G196</f>
        <v>0</v>
      </c>
    </row>
    <row r="197" spans="1:9" ht="12" customHeight="1">
      <c r="A197" s="134"/>
      <c r="B197" s="135"/>
      <c r="C197" s="135"/>
      <c r="D197" s="134"/>
      <c r="E197" s="134"/>
      <c r="F197" s="136"/>
    </row>
    <row r="198" spans="1:9" ht="12" hidden="1" customHeight="1">
      <c r="A198" s="134"/>
      <c r="B198" s="135"/>
      <c r="C198" s="135"/>
      <c r="D198" s="134"/>
      <c r="E198" s="134"/>
      <c r="F198" s="136"/>
      <c r="I198" s="70">
        <v>310.33999999999997</v>
      </c>
    </row>
    <row r="199" spans="1:9" ht="15.5">
      <c r="A199" s="343" t="s">
        <v>591</v>
      </c>
      <c r="B199" s="343"/>
      <c r="C199" s="343"/>
      <c r="D199" s="343"/>
      <c r="E199" s="343"/>
      <c r="F199" s="343"/>
    </row>
    <row r="200" spans="1:9" ht="4.5" customHeight="1">
      <c r="A200" s="145"/>
      <c r="B200" s="145"/>
      <c r="C200" s="145"/>
      <c r="D200" s="145"/>
      <c r="E200" s="145"/>
      <c r="F200" s="145"/>
    </row>
    <row r="201" spans="1:9" ht="60.75" customHeight="1">
      <c r="A201" s="321" t="s">
        <v>92</v>
      </c>
      <c r="B201" s="321"/>
      <c r="C201" s="321"/>
      <c r="D201" s="321"/>
      <c r="E201" s="321"/>
      <c r="F201" s="321"/>
    </row>
    <row r="202" spans="1:9" ht="15" customHeight="1">
      <c r="A202" s="320" t="s">
        <v>96</v>
      </c>
      <c r="B202" s="320"/>
      <c r="C202" s="320"/>
      <c r="D202" s="320"/>
      <c r="E202" s="320"/>
      <c r="F202" s="320"/>
    </row>
    <row r="203" spans="1:9" ht="29.25" customHeight="1">
      <c r="A203" s="144" t="s">
        <v>485</v>
      </c>
      <c r="B203" s="261" t="s">
        <v>497</v>
      </c>
      <c r="C203" s="261"/>
      <c r="D203" s="261"/>
      <c r="E203" s="144" t="s">
        <v>592</v>
      </c>
      <c r="F203" s="144" t="s">
        <v>593</v>
      </c>
    </row>
    <row r="204" spans="1:9" ht="15" customHeight="1">
      <c r="A204" s="144">
        <v>1</v>
      </c>
      <c r="B204" s="261">
        <v>2</v>
      </c>
      <c r="C204" s="261"/>
      <c r="D204" s="261"/>
      <c r="E204" s="144">
        <v>3</v>
      </c>
      <c r="F204" s="144">
        <v>4</v>
      </c>
    </row>
    <row r="205" spans="1:9" ht="15" customHeight="1">
      <c r="A205" s="144">
        <v>1</v>
      </c>
      <c r="B205" s="274" t="s">
        <v>93</v>
      </c>
      <c r="C205" s="275"/>
      <c r="D205" s="276"/>
      <c r="E205" s="144">
        <v>1</v>
      </c>
      <c r="F205" s="127">
        <f>13900-8335.78</f>
        <v>5564.2199999999993</v>
      </c>
    </row>
    <row r="206" spans="1:9" s="128" customFormat="1" ht="15" customHeight="1">
      <c r="A206" s="167"/>
      <c r="B206" s="319" t="s">
        <v>493</v>
      </c>
      <c r="C206" s="319"/>
      <c r="D206" s="319"/>
      <c r="E206" s="167" t="s">
        <v>494</v>
      </c>
      <c r="F206" s="174">
        <f>SUM(F205)</f>
        <v>5564.2199999999993</v>
      </c>
      <c r="G206" s="128">
        <f ca="1">'р.3 2017'!D117</f>
        <v>5564.2199999999993</v>
      </c>
      <c r="H206" s="162">
        <f>G206-F206</f>
        <v>0</v>
      </c>
    </row>
    <row r="207" spans="1:9" ht="6.75" customHeight="1"/>
    <row r="208" spans="1:9" ht="29.25" customHeight="1">
      <c r="A208" s="321" t="s">
        <v>94</v>
      </c>
      <c r="B208" s="321"/>
      <c r="C208" s="321"/>
      <c r="D208" s="321"/>
      <c r="E208" s="321"/>
      <c r="F208" s="321"/>
    </row>
    <row r="209" spans="1:8" ht="13.5" customHeight="1">
      <c r="A209" s="320" t="s">
        <v>220</v>
      </c>
      <c r="B209" s="320"/>
      <c r="C209" s="320"/>
      <c r="D209" s="320"/>
      <c r="E209" s="320"/>
      <c r="F209" s="320"/>
    </row>
    <row r="210" spans="1:8" ht="28.5" customHeight="1">
      <c r="A210" s="144" t="s">
        <v>485</v>
      </c>
      <c r="B210" s="261" t="s">
        <v>497</v>
      </c>
      <c r="C210" s="261"/>
      <c r="D210" s="261"/>
      <c r="E210" s="144" t="s">
        <v>592</v>
      </c>
      <c r="F210" s="144" t="s">
        <v>593</v>
      </c>
    </row>
    <row r="211" spans="1:8" ht="19.5" customHeight="1">
      <c r="A211" s="144">
        <v>1</v>
      </c>
      <c r="B211" s="261">
        <v>2</v>
      </c>
      <c r="C211" s="261"/>
      <c r="D211" s="261"/>
      <c r="E211" s="144">
        <v>3</v>
      </c>
      <c r="F211" s="144">
        <v>4</v>
      </c>
    </row>
    <row r="212" spans="1:8" ht="33.75" customHeight="1">
      <c r="A212" s="315" t="s">
        <v>217</v>
      </c>
      <c r="B212" s="316"/>
      <c r="C212" s="316"/>
      <c r="D212" s="316"/>
      <c r="E212" s="316"/>
      <c r="F212" s="317"/>
    </row>
    <row r="213" spans="1:8" ht="32.25" customHeight="1">
      <c r="A213" s="144">
        <v>1</v>
      </c>
      <c r="B213" s="274" t="s">
        <v>95</v>
      </c>
      <c r="C213" s="275"/>
      <c r="D213" s="276"/>
      <c r="E213" s="144">
        <v>1</v>
      </c>
      <c r="F213" s="127">
        <v>6792.16</v>
      </c>
      <c r="G213" s="70">
        <f ca="1">'р.3 2017'!H119</f>
        <v>6792.16</v>
      </c>
      <c r="H213" s="94">
        <f>F213-G213</f>
        <v>0</v>
      </c>
    </row>
    <row r="214" spans="1:8" ht="18.75" customHeight="1">
      <c r="A214" s="315" t="s">
        <v>218</v>
      </c>
      <c r="B214" s="316"/>
      <c r="C214" s="316"/>
      <c r="D214" s="316"/>
      <c r="E214" s="316"/>
      <c r="F214" s="317"/>
    </row>
    <row r="215" spans="1:8" ht="31.5" customHeight="1">
      <c r="A215" s="144"/>
      <c r="B215" s="274" t="s">
        <v>95</v>
      </c>
      <c r="C215" s="275"/>
      <c r="D215" s="276"/>
      <c r="E215" s="144">
        <v>1</v>
      </c>
      <c r="F215" s="127">
        <v>6611.54</v>
      </c>
      <c r="G215" s="70">
        <f ca="1">'р.3 2017'!F119</f>
        <v>6611.5400000000009</v>
      </c>
      <c r="H215" s="94">
        <f>F215-G215</f>
        <v>0</v>
      </c>
    </row>
    <row r="216" spans="1:8" ht="18" customHeight="1">
      <c r="A216" s="167"/>
      <c r="B216" s="319" t="s">
        <v>493</v>
      </c>
      <c r="C216" s="319"/>
      <c r="D216" s="319"/>
      <c r="E216" s="167" t="s">
        <v>494</v>
      </c>
      <c r="F216" s="174">
        <f>F215+F213</f>
        <v>13403.7</v>
      </c>
      <c r="G216" s="128">
        <f ca="1">'р.3 2017'!F119+'р.3 2017'!H119</f>
        <v>13403.7</v>
      </c>
      <c r="H216" s="162">
        <f>F216-G216</f>
        <v>0</v>
      </c>
    </row>
    <row r="217" spans="1:8" ht="9.75" customHeight="1"/>
    <row r="218" spans="1:8" ht="30.75" customHeight="1">
      <c r="A218" s="321" t="s">
        <v>94</v>
      </c>
      <c r="B218" s="321"/>
      <c r="C218" s="321"/>
      <c r="D218" s="321"/>
      <c r="E218" s="321"/>
      <c r="F218" s="321"/>
    </row>
    <row r="219" spans="1:8" ht="14.25" customHeight="1">
      <c r="A219" s="320" t="s">
        <v>97</v>
      </c>
      <c r="B219" s="320"/>
      <c r="C219" s="320"/>
      <c r="D219" s="320"/>
      <c r="E219" s="320"/>
      <c r="F219" s="320"/>
    </row>
    <row r="220" spans="1:8" ht="28">
      <c r="A220" s="144" t="s">
        <v>485</v>
      </c>
      <c r="B220" s="261" t="s">
        <v>497</v>
      </c>
      <c r="C220" s="261"/>
      <c r="D220" s="261"/>
      <c r="E220" s="144" t="s">
        <v>592</v>
      </c>
      <c r="F220" s="144" t="s">
        <v>593</v>
      </c>
    </row>
    <row r="221" spans="1:8" ht="13.5" customHeight="1">
      <c r="A221" s="144">
        <v>1</v>
      </c>
      <c r="B221" s="261">
        <v>2</v>
      </c>
      <c r="C221" s="261"/>
      <c r="D221" s="261"/>
      <c r="E221" s="144">
        <v>3</v>
      </c>
      <c r="F221" s="144">
        <v>4</v>
      </c>
    </row>
    <row r="222" spans="1:8" ht="30.75" customHeight="1">
      <c r="A222" s="144">
        <v>1</v>
      </c>
      <c r="B222" s="274" t="s">
        <v>95</v>
      </c>
      <c r="C222" s="275"/>
      <c r="D222" s="276"/>
      <c r="E222" s="144">
        <v>1</v>
      </c>
      <c r="F222" s="127">
        <v>99210.3</v>
      </c>
    </row>
    <row r="223" spans="1:8" s="128" customFormat="1">
      <c r="A223" s="167"/>
      <c r="B223" s="319" t="s">
        <v>493</v>
      </c>
      <c r="C223" s="319"/>
      <c r="D223" s="319"/>
      <c r="E223" s="167" t="s">
        <v>494</v>
      </c>
      <c r="F223" s="174">
        <f>SUM(F222)</f>
        <v>99210.3</v>
      </c>
      <c r="G223" s="128">
        <f ca="1">'р.3 2017'!J119</f>
        <v>99210.3</v>
      </c>
      <c r="H223" s="162">
        <f>F223-G223</f>
        <v>0</v>
      </c>
    </row>
    <row r="225" spans="1:8" ht="28.5" customHeight="1">
      <c r="A225" s="321" t="s">
        <v>107</v>
      </c>
      <c r="B225" s="321"/>
      <c r="C225" s="321"/>
      <c r="D225" s="321"/>
      <c r="E225" s="321"/>
      <c r="F225" s="321"/>
    </row>
    <row r="226" spans="1:8" ht="15.5">
      <c r="A226" s="320" t="s">
        <v>99</v>
      </c>
      <c r="B226" s="320"/>
      <c r="C226" s="320"/>
      <c r="D226" s="320"/>
      <c r="E226" s="320"/>
      <c r="F226" s="320"/>
    </row>
    <row r="227" spans="1:8" ht="28">
      <c r="A227" s="144" t="s">
        <v>485</v>
      </c>
      <c r="B227" s="261" t="s">
        <v>497</v>
      </c>
      <c r="C227" s="261"/>
      <c r="D227" s="261"/>
      <c r="E227" s="144" t="s">
        <v>592</v>
      </c>
      <c r="F227" s="144" t="s">
        <v>593</v>
      </c>
    </row>
    <row r="228" spans="1:8">
      <c r="A228" s="144">
        <v>1</v>
      </c>
      <c r="B228" s="261">
        <v>2</v>
      </c>
      <c r="C228" s="261"/>
      <c r="D228" s="261"/>
      <c r="E228" s="144">
        <v>3</v>
      </c>
      <c r="F228" s="144">
        <v>4</v>
      </c>
    </row>
    <row r="229" spans="1:8" ht="16.5" customHeight="1">
      <c r="A229" s="144">
        <v>1</v>
      </c>
      <c r="B229" s="274" t="s">
        <v>102</v>
      </c>
      <c r="C229" s="275"/>
      <c r="D229" s="276"/>
      <c r="E229" s="144">
        <v>1</v>
      </c>
      <c r="F229" s="127">
        <f>36800-12401.24</f>
        <v>24398.760000000002</v>
      </c>
    </row>
    <row r="230" spans="1:8" s="128" customFormat="1">
      <c r="A230" s="167"/>
      <c r="B230" s="319" t="s">
        <v>493</v>
      </c>
      <c r="C230" s="319"/>
      <c r="D230" s="319"/>
      <c r="E230" s="167" t="s">
        <v>494</v>
      </c>
      <c r="F230" s="174">
        <f>SUM(F229)</f>
        <v>24398.760000000002</v>
      </c>
      <c r="G230" s="128">
        <f ca="1">'р.3 2017'!D121</f>
        <v>24398.760000000002</v>
      </c>
      <c r="H230" s="128">
        <f>F230-G230</f>
        <v>0</v>
      </c>
    </row>
    <row r="231" spans="1:8">
      <c r="A231" s="95"/>
      <c r="B231" s="156"/>
      <c r="C231" s="156"/>
      <c r="D231" s="156"/>
      <c r="E231" s="95"/>
      <c r="F231" s="176"/>
    </row>
    <row r="232" spans="1:8" ht="17.25" customHeight="1">
      <c r="A232" s="321" t="s">
        <v>106</v>
      </c>
      <c r="B232" s="321"/>
      <c r="C232" s="321"/>
      <c r="D232" s="321"/>
      <c r="E232" s="321"/>
      <c r="F232" s="321"/>
    </row>
    <row r="233" spans="1:8" ht="15.5">
      <c r="A233" s="320" t="s">
        <v>103</v>
      </c>
      <c r="B233" s="320"/>
      <c r="C233" s="320"/>
      <c r="D233" s="320"/>
      <c r="E233" s="320"/>
      <c r="F233" s="320"/>
    </row>
    <row r="234" spans="1:8" ht="28">
      <c r="A234" s="144" t="s">
        <v>485</v>
      </c>
      <c r="B234" s="261" t="s">
        <v>497</v>
      </c>
      <c r="C234" s="261"/>
      <c r="D234" s="261"/>
      <c r="E234" s="144" t="s">
        <v>592</v>
      </c>
      <c r="F234" s="144" t="s">
        <v>593</v>
      </c>
    </row>
    <row r="235" spans="1:8">
      <c r="A235" s="144">
        <v>1</v>
      </c>
      <c r="B235" s="261">
        <v>2</v>
      </c>
      <c r="C235" s="261"/>
      <c r="D235" s="261"/>
      <c r="E235" s="144">
        <v>3</v>
      </c>
      <c r="F235" s="144">
        <v>4</v>
      </c>
    </row>
    <row r="236" spans="1:8" ht="31.5" customHeight="1">
      <c r="A236" s="144">
        <v>1</v>
      </c>
      <c r="B236" s="274" t="s">
        <v>104</v>
      </c>
      <c r="C236" s="275"/>
      <c r="D236" s="276"/>
      <c r="E236" s="144">
        <v>1</v>
      </c>
      <c r="F236" s="127">
        <f>15000-1684.02</f>
        <v>13315.98</v>
      </c>
    </row>
    <row r="237" spans="1:8" s="128" customFormat="1">
      <c r="A237" s="167"/>
      <c r="B237" s="319" t="s">
        <v>493</v>
      </c>
      <c r="C237" s="319"/>
      <c r="D237" s="319"/>
      <c r="E237" s="167" t="s">
        <v>494</v>
      </c>
      <c r="F237" s="174">
        <f>SUM(F236)</f>
        <v>13315.98</v>
      </c>
      <c r="G237" s="128">
        <f ca="1">'р.3 2017'!D122</f>
        <v>13315.98</v>
      </c>
      <c r="H237" s="128">
        <f>F237-G237</f>
        <v>0</v>
      </c>
    </row>
    <row r="238" spans="1:8" ht="9" customHeight="1">
      <c r="A238" s="95"/>
      <c r="B238" s="156"/>
      <c r="C238" s="156"/>
      <c r="D238" s="156"/>
      <c r="E238" s="95"/>
      <c r="F238" s="176"/>
    </row>
    <row r="239" spans="1:8" ht="29.25" customHeight="1">
      <c r="A239" s="321" t="s">
        <v>113</v>
      </c>
      <c r="B239" s="321"/>
      <c r="C239" s="321"/>
      <c r="D239" s="321"/>
      <c r="E239" s="321"/>
      <c r="F239" s="321"/>
    </row>
    <row r="240" spans="1:8" ht="17.25" customHeight="1">
      <c r="A240" s="320" t="s">
        <v>105</v>
      </c>
      <c r="B240" s="320"/>
      <c r="C240" s="320"/>
      <c r="D240" s="320"/>
      <c r="E240" s="320"/>
      <c r="F240" s="320"/>
    </row>
    <row r="241" spans="1:9" ht="28">
      <c r="A241" s="144" t="s">
        <v>485</v>
      </c>
      <c r="B241" s="261" t="s">
        <v>497</v>
      </c>
      <c r="C241" s="261"/>
      <c r="D241" s="261"/>
      <c r="E241" s="144" t="s">
        <v>592</v>
      </c>
      <c r="F241" s="144" t="s">
        <v>593</v>
      </c>
    </row>
    <row r="242" spans="1:9">
      <c r="A242" s="144">
        <v>1</v>
      </c>
      <c r="B242" s="261">
        <v>2</v>
      </c>
      <c r="C242" s="261"/>
      <c r="D242" s="261"/>
      <c r="E242" s="144">
        <v>3</v>
      </c>
      <c r="F242" s="144">
        <v>4</v>
      </c>
    </row>
    <row r="243" spans="1:9">
      <c r="A243" s="144">
        <v>1</v>
      </c>
      <c r="B243" s="274" t="s">
        <v>108</v>
      </c>
      <c r="C243" s="275"/>
      <c r="D243" s="276"/>
      <c r="E243" s="144">
        <v>2</v>
      </c>
      <c r="F243" s="127">
        <f>12000*2-17400</f>
        <v>6600</v>
      </c>
    </row>
    <row r="244" spans="1:9" s="128" customFormat="1">
      <c r="A244" s="167"/>
      <c r="B244" s="319" t="s">
        <v>493</v>
      </c>
      <c r="C244" s="319"/>
      <c r="D244" s="319"/>
      <c r="E244" s="167" t="s">
        <v>494</v>
      </c>
      <c r="F244" s="174">
        <f>SUM(F243)</f>
        <v>6600</v>
      </c>
      <c r="G244" s="128">
        <f ca="1">'р.3 2017'!D124</f>
        <v>6600</v>
      </c>
      <c r="H244" s="162">
        <f>F244-G244</f>
        <v>0</v>
      </c>
    </row>
    <row r="245" spans="1:9" ht="9" customHeight="1">
      <c r="A245" s="95"/>
      <c r="B245" s="156"/>
      <c r="C245" s="156"/>
      <c r="D245" s="156"/>
      <c r="E245" s="95"/>
      <c r="F245" s="176"/>
      <c r="H245" s="94"/>
    </row>
    <row r="246" spans="1:9" ht="15.5">
      <c r="A246" s="321" t="s">
        <v>112</v>
      </c>
      <c r="B246" s="321"/>
      <c r="C246" s="321"/>
      <c r="D246" s="321"/>
      <c r="E246" s="321"/>
      <c r="F246" s="321"/>
      <c r="H246" s="94"/>
    </row>
    <row r="247" spans="1:9" ht="15.5">
      <c r="A247" s="320" t="s">
        <v>109</v>
      </c>
      <c r="B247" s="320"/>
      <c r="C247" s="320"/>
      <c r="D247" s="320"/>
      <c r="E247" s="320"/>
      <c r="F247" s="320"/>
      <c r="H247" s="94"/>
    </row>
    <row r="248" spans="1:9" ht="28">
      <c r="A248" s="144" t="s">
        <v>485</v>
      </c>
      <c r="B248" s="261" t="s">
        <v>497</v>
      </c>
      <c r="C248" s="261"/>
      <c r="D248" s="261"/>
      <c r="E248" s="144" t="s">
        <v>592</v>
      </c>
      <c r="F248" s="144" t="s">
        <v>593</v>
      </c>
      <c r="H248" s="94"/>
    </row>
    <row r="249" spans="1:9">
      <c r="A249" s="144">
        <v>1</v>
      </c>
      <c r="B249" s="261">
        <v>2</v>
      </c>
      <c r="C249" s="261"/>
      <c r="D249" s="261"/>
      <c r="E249" s="144">
        <v>3</v>
      </c>
      <c r="F249" s="144">
        <v>4</v>
      </c>
      <c r="H249" s="94"/>
    </row>
    <row r="250" spans="1:9">
      <c r="A250" s="144">
        <v>1</v>
      </c>
      <c r="B250" s="274" t="s">
        <v>111</v>
      </c>
      <c r="C250" s="275"/>
      <c r="D250" s="276"/>
      <c r="E250" s="144">
        <v>1</v>
      </c>
      <c r="F250" s="127">
        <v>60000</v>
      </c>
      <c r="H250" s="94"/>
    </row>
    <row r="251" spans="1:9">
      <c r="A251" s="144">
        <v>1</v>
      </c>
      <c r="B251" s="274" t="s">
        <v>110</v>
      </c>
      <c r="C251" s="275"/>
      <c r="D251" s="276"/>
      <c r="E251" s="144">
        <v>1</v>
      </c>
      <c r="F251" s="127">
        <f>22300-7580.87</f>
        <v>14719.130000000001</v>
      </c>
      <c r="H251" s="94"/>
      <c r="I251" s="70" t="s">
        <v>154</v>
      </c>
    </row>
    <row r="252" spans="1:9" s="128" customFormat="1">
      <c r="A252" s="167"/>
      <c r="B252" s="319" t="s">
        <v>493</v>
      </c>
      <c r="C252" s="319"/>
      <c r="D252" s="319"/>
      <c r="E252" s="167" t="s">
        <v>494</v>
      </c>
      <c r="F252" s="174">
        <f>SUM(F250:F251)</f>
        <v>74719.13</v>
      </c>
      <c r="G252" s="128">
        <f ca="1">'р.3 2017'!F125</f>
        <v>74719.13</v>
      </c>
      <c r="H252" s="162">
        <f>F252-G252</f>
        <v>0</v>
      </c>
    </row>
    <row r="253" spans="1:9" ht="9" customHeight="1">
      <c r="A253" s="95"/>
      <c r="B253" s="156"/>
      <c r="C253" s="156"/>
      <c r="D253" s="156"/>
      <c r="E253" s="95"/>
      <c r="F253" s="176"/>
      <c r="H253" s="94"/>
    </row>
    <row r="254" spans="1:9" ht="15.5">
      <c r="A254" s="321" t="s">
        <v>114</v>
      </c>
      <c r="B254" s="321"/>
      <c r="C254" s="321"/>
      <c r="D254" s="321"/>
      <c r="E254" s="321"/>
      <c r="F254" s="321"/>
      <c r="H254" s="94"/>
    </row>
    <row r="255" spans="1:9" ht="15.5">
      <c r="A255" s="320" t="s">
        <v>115</v>
      </c>
      <c r="B255" s="320"/>
      <c r="C255" s="320"/>
      <c r="D255" s="320"/>
      <c r="E255" s="320"/>
      <c r="F255" s="320"/>
      <c r="H255" s="94"/>
    </row>
    <row r="256" spans="1:9" ht="28">
      <c r="A256" s="144" t="s">
        <v>485</v>
      </c>
      <c r="B256" s="261" t="s">
        <v>497</v>
      </c>
      <c r="C256" s="261"/>
      <c r="D256" s="261"/>
      <c r="E256" s="144" t="s">
        <v>592</v>
      </c>
      <c r="F256" s="144" t="s">
        <v>593</v>
      </c>
      <c r="H256" s="94"/>
    </row>
    <row r="257" spans="1:8">
      <c r="A257" s="144">
        <v>1</v>
      </c>
      <c r="B257" s="261">
        <v>2</v>
      </c>
      <c r="C257" s="261"/>
      <c r="D257" s="261"/>
      <c r="E257" s="144">
        <v>3</v>
      </c>
      <c r="F257" s="144">
        <v>4</v>
      </c>
      <c r="H257" s="94"/>
    </row>
    <row r="258" spans="1:8">
      <c r="A258" s="144">
        <v>1</v>
      </c>
      <c r="B258" s="274" t="s">
        <v>116</v>
      </c>
      <c r="C258" s="275"/>
      <c r="D258" s="276"/>
      <c r="E258" s="144">
        <v>1</v>
      </c>
      <c r="F258" s="127">
        <v>115000</v>
      </c>
      <c r="H258" s="94"/>
    </row>
    <row r="259" spans="1:8" s="128" customFormat="1">
      <c r="A259" s="167"/>
      <c r="B259" s="319" t="s">
        <v>493</v>
      </c>
      <c r="C259" s="319"/>
      <c r="D259" s="319"/>
      <c r="E259" s="167" t="s">
        <v>494</v>
      </c>
      <c r="F259" s="174">
        <f>SUM(F258:F258)</f>
        <v>115000</v>
      </c>
      <c r="G259" s="128">
        <f ca="1">'р.3 2017'!H125</f>
        <v>115000</v>
      </c>
      <c r="H259" s="162">
        <f>G259-F259</f>
        <v>0</v>
      </c>
    </row>
    <row r="260" spans="1:8" ht="8.25" customHeight="1">
      <c r="A260" s="95"/>
      <c r="B260" s="156"/>
      <c r="C260" s="156"/>
      <c r="D260" s="156"/>
      <c r="E260" s="95"/>
      <c r="F260" s="176"/>
    </row>
    <row r="261" spans="1:8" ht="14.25" customHeight="1">
      <c r="A261" s="273" t="s">
        <v>594</v>
      </c>
      <c r="B261" s="273"/>
      <c r="C261" s="273"/>
      <c r="D261" s="273"/>
      <c r="E261" s="273"/>
      <c r="F261" s="273"/>
    </row>
    <row r="262" spans="1:8" ht="11.25" customHeight="1">
      <c r="A262" s="273" t="s">
        <v>595</v>
      </c>
      <c r="B262" s="273"/>
      <c r="C262" s="273"/>
      <c r="D262" s="273"/>
      <c r="E262" s="273"/>
      <c r="F262" s="273"/>
    </row>
    <row r="263" spans="1:8" ht="17.25" customHeight="1">
      <c r="A263" s="320" t="s">
        <v>209</v>
      </c>
      <c r="B263" s="320"/>
      <c r="C263" s="320"/>
      <c r="D263" s="320"/>
      <c r="E263" s="320"/>
      <c r="F263" s="320"/>
    </row>
    <row r="264" spans="1:8" ht="15.75" customHeight="1">
      <c r="A264" s="144" t="s">
        <v>485</v>
      </c>
      <c r="B264" s="261" t="s">
        <v>497</v>
      </c>
      <c r="C264" s="261"/>
      <c r="D264" s="144" t="s">
        <v>583</v>
      </c>
      <c r="E264" s="144" t="s">
        <v>596</v>
      </c>
      <c r="F264" s="144" t="s">
        <v>597</v>
      </c>
    </row>
    <row r="265" spans="1:8" ht="11.25" customHeight="1">
      <c r="A265" s="144" t="s">
        <v>598</v>
      </c>
      <c r="B265" s="261">
        <v>1</v>
      </c>
      <c r="C265" s="261"/>
      <c r="D265" s="144">
        <v>2</v>
      </c>
      <c r="E265" s="144">
        <v>3</v>
      </c>
      <c r="F265" s="144">
        <v>4</v>
      </c>
    </row>
    <row r="266" spans="1:8" ht="15" customHeight="1">
      <c r="A266" s="144">
        <v>1</v>
      </c>
      <c r="B266" s="290" t="s">
        <v>210</v>
      </c>
      <c r="C266" s="290"/>
      <c r="D266" s="144">
        <v>1</v>
      </c>
      <c r="E266" s="127">
        <v>40000</v>
      </c>
      <c r="F266" s="127">
        <f>D266*E266</f>
        <v>40000</v>
      </c>
    </row>
    <row r="267" spans="1:8" ht="11.25" hidden="1" customHeight="1">
      <c r="A267" s="142">
        <v>2</v>
      </c>
      <c r="B267" s="290"/>
      <c r="C267" s="290"/>
      <c r="D267" s="142"/>
      <c r="E267" s="148"/>
      <c r="F267" s="127">
        <f>D267*E267</f>
        <v>0</v>
      </c>
    </row>
    <row r="268" spans="1:8" ht="15" customHeight="1">
      <c r="A268" s="167"/>
      <c r="B268" s="319" t="s">
        <v>493</v>
      </c>
      <c r="C268" s="319"/>
      <c r="D268" s="167"/>
      <c r="E268" s="167" t="s">
        <v>494</v>
      </c>
      <c r="F268" s="174">
        <f>SUM(F266:F267)</f>
        <v>40000</v>
      </c>
      <c r="G268" s="70">
        <f ca="1">'р.3 2017'!H129</f>
        <v>40000</v>
      </c>
      <c r="H268" s="70">
        <f>F268-G268</f>
        <v>0</v>
      </c>
    </row>
    <row r="269" spans="1:8" ht="11.25" customHeight="1">
      <c r="A269" s="141"/>
      <c r="B269" s="141"/>
      <c r="C269" s="141"/>
      <c r="D269" s="141"/>
      <c r="E269" s="141"/>
      <c r="F269" s="141"/>
    </row>
    <row r="270" spans="1:8" ht="15.75" customHeight="1">
      <c r="A270" s="320" t="s">
        <v>155</v>
      </c>
      <c r="B270" s="320"/>
      <c r="C270" s="320"/>
      <c r="D270" s="320"/>
      <c r="E270" s="320"/>
      <c r="F270" s="320"/>
    </row>
    <row r="271" spans="1:8" ht="28">
      <c r="A271" s="144" t="s">
        <v>485</v>
      </c>
      <c r="B271" s="261" t="s">
        <v>497</v>
      </c>
      <c r="C271" s="261"/>
      <c r="D271" s="144" t="s">
        <v>583</v>
      </c>
      <c r="E271" s="144" t="s">
        <v>596</v>
      </c>
      <c r="F271" s="144" t="s">
        <v>597</v>
      </c>
    </row>
    <row r="272" spans="1:8">
      <c r="A272" s="144" t="s">
        <v>598</v>
      </c>
      <c r="B272" s="261">
        <v>1</v>
      </c>
      <c r="C272" s="261"/>
      <c r="D272" s="144">
        <v>2</v>
      </c>
      <c r="E272" s="144">
        <v>3</v>
      </c>
      <c r="F272" s="144">
        <v>4</v>
      </c>
    </row>
    <row r="273" spans="1:8">
      <c r="A273" s="144">
        <v>1</v>
      </c>
      <c r="B273" s="290" t="s">
        <v>118</v>
      </c>
      <c r="C273" s="290"/>
      <c r="D273" s="144">
        <v>6</v>
      </c>
      <c r="E273" s="127">
        <v>1500</v>
      </c>
      <c r="F273" s="127">
        <f>D273*E273</f>
        <v>9000</v>
      </c>
    </row>
    <row r="274" spans="1:8" s="93" customFormat="1" ht="16.5" customHeight="1">
      <c r="A274" s="142">
        <v>2</v>
      </c>
      <c r="B274" s="290" t="s">
        <v>117</v>
      </c>
      <c r="C274" s="290"/>
      <c r="D274" s="142">
        <v>10</v>
      </c>
      <c r="E274" s="148">
        <v>2600</v>
      </c>
      <c r="F274" s="127">
        <f>D274*E274</f>
        <v>26000</v>
      </c>
    </row>
    <row r="275" spans="1:8" s="128" customFormat="1">
      <c r="A275" s="167"/>
      <c r="B275" s="319" t="s">
        <v>493</v>
      </c>
      <c r="C275" s="319"/>
      <c r="D275" s="167"/>
      <c r="E275" s="167" t="s">
        <v>494</v>
      </c>
      <c r="F275" s="174">
        <f>SUM(F273:F274)</f>
        <v>35000</v>
      </c>
      <c r="G275" s="128">
        <f ca="1">'р.3 2017'!Y135</f>
        <v>35000</v>
      </c>
      <c r="H275" s="128">
        <f>F275-G275</f>
        <v>0</v>
      </c>
    </row>
    <row r="277" spans="1:8" ht="15.75" customHeight="1">
      <c r="A277" s="320" t="s">
        <v>199</v>
      </c>
      <c r="B277" s="320"/>
      <c r="C277" s="320"/>
      <c r="D277" s="320"/>
      <c r="E277" s="320"/>
      <c r="F277" s="320"/>
    </row>
    <row r="278" spans="1:8" ht="28">
      <c r="A278" s="144" t="s">
        <v>485</v>
      </c>
      <c r="B278" s="261" t="s">
        <v>497</v>
      </c>
      <c r="C278" s="261"/>
      <c r="D278" s="144" t="s">
        <v>583</v>
      </c>
      <c r="E278" s="144" t="s">
        <v>596</v>
      </c>
      <c r="F278" s="144" t="s">
        <v>597</v>
      </c>
    </row>
    <row r="279" spans="1:8">
      <c r="A279" s="144" t="s">
        <v>598</v>
      </c>
      <c r="B279" s="261">
        <v>1</v>
      </c>
      <c r="C279" s="261"/>
      <c r="D279" s="144">
        <v>2</v>
      </c>
      <c r="E279" s="144">
        <v>3</v>
      </c>
      <c r="F279" s="144">
        <v>4</v>
      </c>
    </row>
    <row r="280" spans="1:8" ht="15" customHeight="1">
      <c r="A280" s="144">
        <v>1</v>
      </c>
      <c r="B280" s="290" t="s">
        <v>170</v>
      </c>
      <c r="C280" s="290"/>
      <c r="D280" s="144">
        <f>3</f>
        <v>3</v>
      </c>
      <c r="E280" s="127">
        <v>218.6</v>
      </c>
      <c r="F280" s="127">
        <f>D280*E280</f>
        <v>655.8</v>
      </c>
    </row>
    <row r="281" spans="1:8" ht="15.75" customHeight="1">
      <c r="A281" s="167"/>
      <c r="B281" s="319" t="s">
        <v>493</v>
      </c>
      <c r="C281" s="319"/>
      <c r="D281" s="167"/>
      <c r="E281" s="167" t="s">
        <v>494</v>
      </c>
      <c r="F281" s="174">
        <f>SUM(F280:F280)</f>
        <v>655.8</v>
      </c>
      <c r="G281" s="70">
        <f ca="1">'р.3 2017'!Z135</f>
        <v>655.8</v>
      </c>
      <c r="H281" s="94">
        <f>G281-F281</f>
        <v>0</v>
      </c>
    </row>
    <row r="282" spans="1:8" ht="15.75" hidden="1" customHeight="1">
      <c r="A282" s="320" t="s">
        <v>202</v>
      </c>
      <c r="B282" s="320"/>
      <c r="C282" s="320"/>
      <c r="D282" s="320"/>
      <c r="E282" s="320"/>
      <c r="F282" s="320"/>
      <c r="H282" s="94"/>
    </row>
    <row r="283" spans="1:8" ht="15.75" hidden="1" customHeight="1">
      <c r="A283" s="144" t="s">
        <v>485</v>
      </c>
      <c r="B283" s="261" t="s">
        <v>497</v>
      </c>
      <c r="C283" s="261"/>
      <c r="D283" s="144" t="s">
        <v>583</v>
      </c>
      <c r="E283" s="144" t="s">
        <v>596</v>
      </c>
      <c r="F283" s="144" t="s">
        <v>597</v>
      </c>
      <c r="H283" s="94"/>
    </row>
    <row r="284" spans="1:8" ht="15.75" hidden="1" customHeight="1">
      <c r="A284" s="144" t="s">
        <v>598</v>
      </c>
      <c r="B284" s="261">
        <v>1</v>
      </c>
      <c r="C284" s="261"/>
      <c r="D284" s="144">
        <v>2</v>
      </c>
      <c r="E284" s="144">
        <v>3</v>
      </c>
      <c r="F284" s="144">
        <v>4</v>
      </c>
      <c r="H284" s="94"/>
    </row>
    <row r="285" spans="1:8" ht="18" hidden="1" customHeight="1">
      <c r="A285" s="144">
        <v>1</v>
      </c>
      <c r="B285" s="290" t="s">
        <v>170</v>
      </c>
      <c r="C285" s="290"/>
      <c r="D285" s="144">
        <f>3-3</f>
        <v>0</v>
      </c>
      <c r="E285" s="127">
        <v>218.6</v>
      </c>
      <c r="F285" s="127">
        <f>D285*E285</f>
        <v>0</v>
      </c>
      <c r="H285" s="95" t="s">
        <v>154</v>
      </c>
    </row>
    <row r="286" spans="1:8" ht="15.75" hidden="1" customHeight="1">
      <c r="A286" s="167"/>
      <c r="B286" s="319" t="s">
        <v>493</v>
      </c>
      <c r="C286" s="319"/>
      <c r="D286" s="167"/>
      <c r="E286" s="167" t="s">
        <v>494</v>
      </c>
      <c r="F286" s="174">
        <f>SUM(F285:F285)</f>
        <v>0</v>
      </c>
      <c r="G286" s="70">
        <f ca="1">'р.3 2017'!X135</f>
        <v>0</v>
      </c>
      <c r="H286" s="94">
        <f>G286-F286</f>
        <v>0</v>
      </c>
    </row>
    <row r="287" spans="1:8" ht="15.5">
      <c r="A287" s="320" t="s">
        <v>156</v>
      </c>
      <c r="B287" s="320"/>
      <c r="C287" s="320"/>
      <c r="D287" s="320"/>
      <c r="E287" s="320"/>
      <c r="F287" s="320"/>
    </row>
    <row r="288" spans="1:8" ht="42">
      <c r="A288" s="144" t="s">
        <v>485</v>
      </c>
      <c r="B288" s="261" t="s">
        <v>497</v>
      </c>
      <c r="C288" s="261"/>
      <c r="D288" s="144" t="s">
        <v>583</v>
      </c>
      <c r="E288" s="144" t="s">
        <v>160</v>
      </c>
      <c r="F288" s="144" t="s">
        <v>597</v>
      </c>
      <c r="G288" s="70">
        <f ca="1">'р.3 2017'!F135</f>
        <v>7580.87</v>
      </c>
      <c r="H288" s="94">
        <f>G288-F293</f>
        <v>0</v>
      </c>
    </row>
    <row r="289" spans="1:8">
      <c r="A289" s="144" t="s">
        <v>598</v>
      </c>
      <c r="B289" s="261">
        <v>1</v>
      </c>
      <c r="C289" s="261"/>
      <c r="D289" s="144">
        <v>2</v>
      </c>
      <c r="E289" s="144">
        <v>3</v>
      </c>
      <c r="F289" s="144">
        <v>4</v>
      </c>
    </row>
    <row r="290" spans="1:8">
      <c r="A290" s="144">
        <v>1</v>
      </c>
      <c r="B290" s="290" t="s">
        <v>157</v>
      </c>
      <c r="C290" s="290"/>
      <c r="D290" s="144">
        <v>1</v>
      </c>
      <c r="E290" s="127">
        <f>ROUND(5266.36*1.18,2)</f>
        <v>6214.3</v>
      </c>
      <c r="F290" s="127">
        <f>D290*E290</f>
        <v>6214.3</v>
      </c>
    </row>
    <row r="291" spans="1:8">
      <c r="A291" s="144">
        <v>2</v>
      </c>
      <c r="B291" s="290" t="s">
        <v>158</v>
      </c>
      <c r="C291" s="290"/>
      <c r="D291" s="144">
        <v>1</v>
      </c>
      <c r="E291" s="127">
        <f>ROUND(237.2*1.18,2)</f>
        <v>279.89999999999998</v>
      </c>
      <c r="F291" s="127">
        <f>D291*E291</f>
        <v>279.89999999999998</v>
      </c>
    </row>
    <row r="292" spans="1:8">
      <c r="A292" s="142">
        <v>3</v>
      </c>
      <c r="B292" s="290" t="s">
        <v>159</v>
      </c>
      <c r="C292" s="290"/>
      <c r="D292" s="142">
        <v>1</v>
      </c>
      <c r="E292" s="148">
        <f>ROUND(920.91*1.18,2)</f>
        <v>1086.67</v>
      </c>
      <c r="F292" s="127">
        <f>D292*E292</f>
        <v>1086.67</v>
      </c>
    </row>
    <row r="293" spans="1:8">
      <c r="A293" s="167"/>
      <c r="B293" s="319" t="s">
        <v>493</v>
      </c>
      <c r="C293" s="319"/>
      <c r="D293" s="167"/>
      <c r="E293" s="167" t="s">
        <v>494</v>
      </c>
      <c r="F293" s="174">
        <f>SUM(F290:F292)</f>
        <v>7580.87</v>
      </c>
    </row>
    <row r="294" spans="1:8">
      <c r="G294" s="70">
        <f ca="1">'р.3 2017'!H135</f>
        <v>43550</v>
      </c>
      <c r="H294" s="94">
        <f>G294-F304</f>
        <v>0</v>
      </c>
    </row>
    <row r="295" spans="1:8" ht="15.5">
      <c r="A295" s="320" t="s">
        <v>200</v>
      </c>
      <c r="B295" s="320"/>
      <c r="C295" s="320"/>
      <c r="D295" s="320"/>
      <c r="E295" s="320"/>
      <c r="F295" s="320"/>
    </row>
    <row r="296" spans="1:8" ht="42">
      <c r="A296" s="144" t="s">
        <v>485</v>
      </c>
      <c r="B296" s="261" t="s">
        <v>497</v>
      </c>
      <c r="C296" s="261"/>
      <c r="D296" s="144" t="s">
        <v>583</v>
      </c>
      <c r="E296" s="144" t="s">
        <v>160</v>
      </c>
      <c r="F296" s="144" t="s">
        <v>597</v>
      </c>
    </row>
    <row r="297" spans="1:8">
      <c r="A297" s="144" t="s">
        <v>598</v>
      </c>
      <c r="B297" s="261">
        <v>1</v>
      </c>
      <c r="C297" s="261"/>
      <c r="D297" s="144">
        <v>2</v>
      </c>
      <c r="E297" s="144">
        <v>3</v>
      </c>
      <c r="F297" s="144">
        <v>4</v>
      </c>
    </row>
    <row r="298" spans="1:8">
      <c r="A298" s="144">
        <v>1</v>
      </c>
      <c r="B298" s="290" t="s">
        <v>201</v>
      </c>
      <c r="C298" s="290"/>
      <c r="D298" s="144">
        <v>7</v>
      </c>
      <c r="E298" s="127">
        <v>650</v>
      </c>
      <c r="F298" s="127">
        <f t="shared" ref="F298:F303" si="0">D298*E298</f>
        <v>4550</v>
      </c>
    </row>
    <row r="299" spans="1:8">
      <c r="A299" s="144">
        <v>2</v>
      </c>
      <c r="B299" s="274" t="s">
        <v>207</v>
      </c>
      <c r="C299" s="276"/>
      <c r="D299" s="144">
        <v>20</v>
      </c>
      <c r="E299" s="127">
        <v>250</v>
      </c>
      <c r="F299" s="127">
        <f t="shared" si="0"/>
        <v>5000</v>
      </c>
    </row>
    <row r="300" spans="1:8">
      <c r="A300" s="144">
        <v>3</v>
      </c>
      <c r="B300" s="290" t="s">
        <v>205</v>
      </c>
      <c r="C300" s="290"/>
      <c r="D300" s="144">
        <v>20</v>
      </c>
      <c r="E300" s="144">
        <v>500</v>
      </c>
      <c r="F300" s="127">
        <f t="shared" si="0"/>
        <v>10000</v>
      </c>
    </row>
    <row r="301" spans="1:8">
      <c r="A301" s="144">
        <v>4</v>
      </c>
      <c r="B301" s="274" t="s">
        <v>221</v>
      </c>
      <c r="C301" s="276"/>
      <c r="D301" s="144">
        <v>10</v>
      </c>
      <c r="E301" s="144">
        <v>1500</v>
      </c>
      <c r="F301" s="127">
        <f t="shared" si="0"/>
        <v>15000</v>
      </c>
    </row>
    <row r="302" spans="1:8">
      <c r="A302" s="144">
        <v>5</v>
      </c>
      <c r="B302" s="274" t="s">
        <v>208</v>
      </c>
      <c r="C302" s="276"/>
      <c r="D302" s="144">
        <v>20</v>
      </c>
      <c r="E302" s="144">
        <v>150</v>
      </c>
      <c r="F302" s="127">
        <f t="shared" si="0"/>
        <v>3000</v>
      </c>
    </row>
    <row r="303" spans="1:8">
      <c r="A303" s="144">
        <v>6</v>
      </c>
      <c r="B303" s="290" t="s">
        <v>206</v>
      </c>
      <c r="C303" s="290"/>
      <c r="D303" s="144">
        <v>20</v>
      </c>
      <c r="E303" s="127">
        <v>300</v>
      </c>
      <c r="F303" s="127">
        <f t="shared" si="0"/>
        <v>6000</v>
      </c>
    </row>
    <row r="304" spans="1:8">
      <c r="A304" s="167"/>
      <c r="B304" s="319" t="s">
        <v>493</v>
      </c>
      <c r="C304" s="319"/>
      <c r="D304" s="167"/>
      <c r="E304" s="167" t="s">
        <v>494</v>
      </c>
      <c r="F304" s="174">
        <f>SUM(F298:F303)</f>
        <v>43550</v>
      </c>
      <c r="G304" s="70">
        <f ca="1">'р.3 2017'!H135</f>
        <v>43550</v>
      </c>
      <c r="H304" s="94">
        <f>G304-F304</f>
        <v>0</v>
      </c>
    </row>
  </sheetData>
  <mergeCells count="236">
    <mergeCell ref="B186:C186"/>
    <mergeCell ref="B173:C173"/>
    <mergeCell ref="B177:C177"/>
    <mergeCell ref="B172:C172"/>
    <mergeCell ref="D169:D172"/>
    <mergeCell ref="B175:C175"/>
    <mergeCell ref="D175:D176"/>
    <mergeCell ref="D184:D187"/>
    <mergeCell ref="B298:C298"/>
    <mergeCell ref="B300:C300"/>
    <mergeCell ref="B299:C299"/>
    <mergeCell ref="B205:D205"/>
    <mergeCell ref="B206:D206"/>
    <mergeCell ref="A262:F262"/>
    <mergeCell ref="B271:C271"/>
    <mergeCell ref="A201:F201"/>
    <mergeCell ref="A218:F218"/>
    <mergeCell ref="B302:C302"/>
    <mergeCell ref="A263:F263"/>
    <mergeCell ref="B264:C264"/>
    <mergeCell ref="B265:C265"/>
    <mergeCell ref="B266:C266"/>
    <mergeCell ref="B267:C267"/>
    <mergeCell ref="B268:C268"/>
    <mergeCell ref="B297:C297"/>
    <mergeCell ref="A287:F287"/>
    <mergeCell ref="B301:C301"/>
    <mergeCell ref="A240:F240"/>
    <mergeCell ref="B272:C272"/>
    <mergeCell ref="B274:C274"/>
    <mergeCell ref="B275:C275"/>
    <mergeCell ref="A208:F208"/>
    <mergeCell ref="A209:F209"/>
    <mergeCell ref="B210:D210"/>
    <mergeCell ref="B211:D211"/>
    <mergeCell ref="B220:D220"/>
    <mergeCell ref="B304:C304"/>
    <mergeCell ref="B195:C195"/>
    <mergeCell ref="B196:C196"/>
    <mergeCell ref="B230:D230"/>
    <mergeCell ref="A232:F232"/>
    <mergeCell ref="A233:F233"/>
    <mergeCell ref="B234:D234"/>
    <mergeCell ref="B235:D235"/>
    <mergeCell ref="B213:D213"/>
    <mergeCell ref="B216:D216"/>
    <mergeCell ref="A180:F180"/>
    <mergeCell ref="B182:C182"/>
    <mergeCell ref="B183:C183"/>
    <mergeCell ref="B184:C184"/>
    <mergeCell ref="A261:F261"/>
    <mergeCell ref="B303:C303"/>
    <mergeCell ref="A295:F295"/>
    <mergeCell ref="B296:C296"/>
    <mergeCell ref="B257:D257"/>
    <mergeCell ref="B258:D258"/>
    <mergeCell ref="B185:C185"/>
    <mergeCell ref="B188:C188"/>
    <mergeCell ref="B187:C187"/>
    <mergeCell ref="B229:D229"/>
    <mergeCell ref="A199:F199"/>
    <mergeCell ref="B203:D203"/>
    <mergeCell ref="B204:D204"/>
    <mergeCell ref="A226:F226"/>
    <mergeCell ref="B227:D227"/>
    <mergeCell ref="B228:D228"/>
    <mergeCell ref="B236:D236"/>
    <mergeCell ref="B237:D237"/>
    <mergeCell ref="A239:F239"/>
    <mergeCell ref="B250:D250"/>
    <mergeCell ref="B242:D242"/>
    <mergeCell ref="B243:D243"/>
    <mergeCell ref="B244:D244"/>
    <mergeCell ref="A246:F246"/>
    <mergeCell ref="A247:F247"/>
    <mergeCell ref="B248:D248"/>
    <mergeCell ref="A254:F254"/>
    <mergeCell ref="A255:F255"/>
    <mergeCell ref="B256:D256"/>
    <mergeCell ref="A115:F115"/>
    <mergeCell ref="A122:F122"/>
    <mergeCell ref="A129:F129"/>
    <mergeCell ref="B194:C194"/>
    <mergeCell ref="B140:C140"/>
    <mergeCell ref="B141:C141"/>
    <mergeCell ref="B142:C142"/>
    <mergeCell ref="A94:F94"/>
    <mergeCell ref="A105:F105"/>
    <mergeCell ref="A19:F19"/>
    <mergeCell ref="B193:C193"/>
    <mergeCell ref="B153:C153"/>
    <mergeCell ref="A148:F148"/>
    <mergeCell ref="A95:F95"/>
    <mergeCell ref="B159:C159"/>
    <mergeCell ref="B160:C160"/>
    <mergeCell ref="B161:C161"/>
    <mergeCell ref="B102:C102"/>
    <mergeCell ref="B103:C103"/>
    <mergeCell ref="A106:F106"/>
    <mergeCell ref="A138:F138"/>
    <mergeCell ref="A108:F108"/>
    <mergeCell ref="B98:C98"/>
    <mergeCell ref="B99:C99"/>
    <mergeCell ref="B100:C100"/>
    <mergeCell ref="B101:C101"/>
    <mergeCell ref="A155:F155"/>
    <mergeCell ref="A2:F2"/>
    <mergeCell ref="A3:F3"/>
    <mergeCell ref="A5:F5"/>
    <mergeCell ref="A6:F6"/>
    <mergeCell ref="B8:C8"/>
    <mergeCell ref="A17:F17"/>
    <mergeCell ref="A18:F18"/>
    <mergeCell ref="E20:F20"/>
    <mergeCell ref="E21:F21"/>
    <mergeCell ref="A7:F7"/>
    <mergeCell ref="E22:F22"/>
    <mergeCell ref="E23:F23"/>
    <mergeCell ref="B9:C9"/>
    <mergeCell ref="B10:C10"/>
    <mergeCell ref="B11:C11"/>
    <mergeCell ref="A13:F13"/>
    <mergeCell ref="A14:F14"/>
    <mergeCell ref="B52:C52"/>
    <mergeCell ref="A54:F54"/>
    <mergeCell ref="A16:F16"/>
    <mergeCell ref="A33:F33"/>
    <mergeCell ref="A34:F34"/>
    <mergeCell ref="A35:F35"/>
    <mergeCell ref="A36:F36"/>
    <mergeCell ref="E37:F37"/>
    <mergeCell ref="E38:F38"/>
    <mergeCell ref="E39:F39"/>
    <mergeCell ref="B49:C49"/>
    <mergeCell ref="B50:C50"/>
    <mergeCell ref="B51:C51"/>
    <mergeCell ref="E40:F40"/>
    <mergeCell ref="B39:C39"/>
    <mergeCell ref="B38:C38"/>
    <mergeCell ref="B40:C40"/>
    <mergeCell ref="A75:F75"/>
    <mergeCell ref="A76:F76"/>
    <mergeCell ref="A77:F77"/>
    <mergeCell ref="B37:C37"/>
    <mergeCell ref="A55:F55"/>
    <mergeCell ref="A57:F57"/>
    <mergeCell ref="A58:F58"/>
    <mergeCell ref="A43:F43"/>
    <mergeCell ref="A44:F44"/>
    <mergeCell ref="A46:F46"/>
    <mergeCell ref="A80:F80"/>
    <mergeCell ref="B60:C60"/>
    <mergeCell ref="B61:C61"/>
    <mergeCell ref="B62:C62"/>
    <mergeCell ref="B63:C63"/>
    <mergeCell ref="B64:C64"/>
    <mergeCell ref="A73:F73"/>
    <mergeCell ref="A66:F66"/>
    <mergeCell ref="B67:C67"/>
    <mergeCell ref="A74:F74"/>
    <mergeCell ref="B70:C70"/>
    <mergeCell ref="E70:F70"/>
    <mergeCell ref="A86:F86"/>
    <mergeCell ref="A93:F93"/>
    <mergeCell ref="E67:F67"/>
    <mergeCell ref="B68:C68"/>
    <mergeCell ref="E68:F68"/>
    <mergeCell ref="B69:C69"/>
    <mergeCell ref="E69:F69"/>
    <mergeCell ref="A78:F78"/>
    <mergeCell ref="B96:C96"/>
    <mergeCell ref="B97:C97"/>
    <mergeCell ref="B162:C162"/>
    <mergeCell ref="B154:C154"/>
    <mergeCell ref="B143:C143"/>
    <mergeCell ref="A145:F145"/>
    <mergeCell ref="A146:F146"/>
    <mergeCell ref="B150:C150"/>
    <mergeCell ref="B151:C151"/>
    <mergeCell ref="A157:F157"/>
    <mergeCell ref="A164:F164"/>
    <mergeCell ref="B166:C166"/>
    <mergeCell ref="B167:C167"/>
    <mergeCell ref="B178:C178"/>
    <mergeCell ref="B169:C169"/>
    <mergeCell ref="B170:C170"/>
    <mergeCell ref="B171:C171"/>
    <mergeCell ref="B176:C176"/>
    <mergeCell ref="A168:F168"/>
    <mergeCell ref="A174:F174"/>
    <mergeCell ref="B152:C152"/>
    <mergeCell ref="A190:F190"/>
    <mergeCell ref="B192:C192"/>
    <mergeCell ref="B241:D241"/>
    <mergeCell ref="B221:D221"/>
    <mergeCell ref="B222:D222"/>
    <mergeCell ref="B223:D223"/>
    <mergeCell ref="A202:F202"/>
    <mergeCell ref="A219:F219"/>
    <mergeCell ref="A225:F225"/>
    <mergeCell ref="A282:F282"/>
    <mergeCell ref="B283:C283"/>
    <mergeCell ref="A270:F270"/>
    <mergeCell ref="B288:C288"/>
    <mergeCell ref="B289:C289"/>
    <mergeCell ref="B290:C290"/>
    <mergeCell ref="B284:C284"/>
    <mergeCell ref="B285:C285"/>
    <mergeCell ref="B286:C286"/>
    <mergeCell ref="B273:C273"/>
    <mergeCell ref="A277:F277"/>
    <mergeCell ref="B292:C292"/>
    <mergeCell ref="B293:C293"/>
    <mergeCell ref="B291:C291"/>
    <mergeCell ref="B259:D259"/>
    <mergeCell ref="B278:C278"/>
    <mergeCell ref="B279:C279"/>
    <mergeCell ref="B280:C280"/>
    <mergeCell ref="B281:C281"/>
    <mergeCell ref="A25:F25"/>
    <mergeCell ref="A26:F26"/>
    <mergeCell ref="A27:F27"/>
    <mergeCell ref="E28:F28"/>
    <mergeCell ref="B251:D251"/>
    <mergeCell ref="B252:D252"/>
    <mergeCell ref="A212:F212"/>
    <mergeCell ref="A214:F214"/>
    <mergeCell ref="B215:D215"/>
    <mergeCell ref="B249:D249"/>
    <mergeCell ref="E29:F29"/>
    <mergeCell ref="E30:F30"/>
    <mergeCell ref="E31:F31"/>
    <mergeCell ref="B28:D28"/>
    <mergeCell ref="B29:D29"/>
    <mergeCell ref="B30:D30"/>
    <mergeCell ref="B31:D31"/>
  </mergeCells>
  <phoneticPr fontId="0" type="noConversion"/>
  <pageMargins left="1.0629921259842521" right="0.47244094488188981" top="0.19685039370078741" bottom="0" header="0.19685039370078741" footer="0.19685039370078741"/>
  <pageSetup paperSize="9" scale="75" orientation="portrait" r:id="rId1"/>
  <rowBreaks count="3" manualBreakCount="3">
    <brk id="92" max="16383" man="1"/>
    <brk id="144" max="16383" man="1"/>
    <brk id="19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CFF"/>
  </sheetPr>
  <dimension ref="A1:N34"/>
  <sheetViews>
    <sheetView topLeftCell="A19" zoomScale="110" zoomScaleNormal="110" workbookViewId="0">
      <selection activeCell="D27" sqref="D27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7.17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16" style="70" bestFit="1" customWidth="1"/>
    <col min="12" max="12" width="18" style="70" customWidth="1"/>
    <col min="13" max="13" width="9.1796875" style="70"/>
    <col min="14" max="14" width="16.7265625" style="70" customWidth="1"/>
    <col min="15" max="16384" width="9.1796875" style="70"/>
  </cols>
  <sheetData>
    <row r="1" spans="1:10" s="92" customFormat="1">
      <c r="C1" s="149"/>
      <c r="D1" s="149"/>
      <c r="J1" s="150" t="s">
        <v>484</v>
      </c>
    </row>
    <row r="2" spans="1:10" s="92" customFormat="1" ht="15.5">
      <c r="A2" s="259" t="s">
        <v>510</v>
      </c>
      <c r="B2" s="259"/>
      <c r="C2" s="259"/>
      <c r="D2" s="259"/>
      <c r="E2" s="259"/>
      <c r="F2" s="259"/>
      <c r="G2" s="259"/>
      <c r="H2" s="259"/>
      <c r="I2" s="259"/>
      <c r="J2" s="259"/>
    </row>
    <row r="3" spans="1:10" s="92" customFormat="1" ht="15.5">
      <c r="A3" s="259" t="s">
        <v>511</v>
      </c>
      <c r="B3" s="259"/>
      <c r="C3" s="259"/>
      <c r="D3" s="259"/>
      <c r="E3" s="259"/>
      <c r="F3" s="259"/>
      <c r="G3" s="259"/>
      <c r="H3" s="259"/>
      <c r="I3" s="259"/>
      <c r="J3" s="259"/>
    </row>
    <row r="4" spans="1:10" s="92" customFormat="1" ht="15.5">
      <c r="A4" s="259" t="s">
        <v>512</v>
      </c>
      <c r="B4" s="259"/>
      <c r="C4" s="259"/>
      <c r="D4" s="259"/>
      <c r="E4" s="259"/>
      <c r="F4" s="259"/>
      <c r="G4" s="259"/>
      <c r="H4" s="259"/>
      <c r="I4" s="259"/>
      <c r="J4" s="259"/>
    </row>
    <row r="5" spans="1:10" s="92" customFormat="1" ht="15.5">
      <c r="A5" s="259" t="s">
        <v>513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0" s="92" customFormat="1" ht="15.5">
      <c r="A6" s="259" t="s">
        <v>514</v>
      </c>
      <c r="B6" s="259"/>
      <c r="C6" s="259"/>
      <c r="D6" s="259"/>
      <c r="E6" s="259"/>
      <c r="F6" s="259"/>
      <c r="G6" s="259"/>
      <c r="H6" s="259"/>
      <c r="I6" s="259"/>
      <c r="J6" s="259"/>
    </row>
    <row r="7" spans="1:10" s="92" customFormat="1" ht="15.5">
      <c r="A7" s="259" t="s">
        <v>515</v>
      </c>
      <c r="B7" s="259"/>
      <c r="C7" s="259"/>
      <c r="D7" s="259"/>
      <c r="E7" s="259"/>
      <c r="F7" s="259"/>
      <c r="G7" s="259"/>
      <c r="H7" s="259"/>
      <c r="I7" s="259"/>
      <c r="J7" s="259"/>
    </row>
    <row r="8" spans="1:10" s="92" customFormat="1" ht="15.5">
      <c r="A8" s="259" t="s">
        <v>516</v>
      </c>
      <c r="B8" s="259"/>
      <c r="C8" s="259"/>
      <c r="D8" s="259"/>
      <c r="E8" s="259"/>
      <c r="F8" s="259"/>
      <c r="G8" s="259"/>
      <c r="H8" s="259"/>
      <c r="I8" s="259"/>
      <c r="J8" s="259"/>
    </row>
    <row r="9" spans="1:10" s="92" customFormat="1" ht="15.5">
      <c r="A9" s="259" t="s">
        <v>620</v>
      </c>
      <c r="B9" s="259"/>
      <c r="C9" s="259"/>
      <c r="D9" s="259"/>
      <c r="E9" s="259"/>
      <c r="F9" s="259"/>
      <c r="G9" s="259"/>
      <c r="H9" s="259"/>
      <c r="I9" s="259"/>
      <c r="J9" s="259"/>
    </row>
    <row r="10" spans="1:10" s="92" customFormat="1" ht="15.5">
      <c r="A10" s="72"/>
      <c r="B10" s="72"/>
      <c r="C10" s="72"/>
      <c r="D10" s="72"/>
      <c r="E10" s="72"/>
      <c r="F10" s="72"/>
      <c r="G10" s="72"/>
      <c r="H10" s="72"/>
      <c r="I10" s="72"/>
      <c r="J10" s="72"/>
    </row>
    <row r="11" spans="1:10" s="92" customFormat="1" ht="15.5">
      <c r="A11" s="247" t="s">
        <v>507</v>
      </c>
      <c r="B11" s="247"/>
      <c r="C11" s="247"/>
      <c r="D11" s="247"/>
      <c r="E11" s="247"/>
      <c r="F11" s="247"/>
      <c r="G11" s="247"/>
      <c r="H11" s="247"/>
      <c r="I11" s="247"/>
      <c r="J11" s="247"/>
    </row>
    <row r="12" spans="1:10" s="92" customFormat="1" ht="15.5">
      <c r="A12" s="247" t="s">
        <v>508</v>
      </c>
      <c r="B12" s="247"/>
      <c r="C12" s="247"/>
      <c r="D12" s="247"/>
      <c r="E12" s="247"/>
      <c r="F12" s="247"/>
      <c r="G12" s="247"/>
      <c r="H12" s="247"/>
      <c r="I12" s="247"/>
      <c r="J12" s="247"/>
    </row>
    <row r="13" spans="1:10" s="92" customFormat="1" ht="15.5">
      <c r="A13" s="247" t="s">
        <v>509</v>
      </c>
      <c r="B13" s="247"/>
      <c r="C13" s="247"/>
      <c r="D13" s="247"/>
      <c r="E13" s="247"/>
      <c r="F13" s="247"/>
      <c r="G13" s="247"/>
      <c r="H13" s="247"/>
      <c r="I13" s="247"/>
      <c r="J13" s="247"/>
    </row>
    <row r="14" spans="1:10" s="92" customFormat="1" ht="18">
      <c r="A14" s="348" t="s">
        <v>173</v>
      </c>
      <c r="B14" s="348"/>
      <c r="C14" s="348"/>
      <c r="D14" s="348"/>
      <c r="E14" s="348"/>
      <c r="F14" s="348"/>
      <c r="G14" s="348"/>
      <c r="H14" s="348"/>
      <c r="I14" s="348"/>
      <c r="J14" s="348"/>
    </row>
    <row r="15" spans="1:10" s="92" customFormat="1" ht="15.5">
      <c r="A15" s="247" t="s">
        <v>506</v>
      </c>
      <c r="B15" s="247"/>
      <c r="C15" s="247"/>
      <c r="D15" s="247"/>
      <c r="E15" s="247"/>
      <c r="F15" s="247"/>
      <c r="G15" s="247"/>
      <c r="H15" s="247"/>
      <c r="I15" s="247"/>
      <c r="J15" s="247"/>
    </row>
    <row r="16" spans="1:10" s="92" customFormat="1" ht="9" customHeight="1">
      <c r="A16" s="72"/>
      <c r="B16" s="72"/>
      <c r="C16" s="72"/>
      <c r="D16" s="72"/>
      <c r="E16" s="72"/>
      <c r="F16" s="72"/>
      <c r="G16" s="72"/>
      <c r="H16" s="72"/>
      <c r="I16" s="72"/>
      <c r="J16" s="72"/>
    </row>
    <row r="17" spans="1:14" s="92" customFormat="1" ht="15.5">
      <c r="A17" s="260" t="s">
        <v>751</v>
      </c>
      <c r="B17" s="260"/>
      <c r="C17" s="260"/>
      <c r="D17" s="260"/>
      <c r="E17" s="260"/>
      <c r="F17" s="260"/>
      <c r="G17" s="260"/>
      <c r="H17" s="260"/>
      <c r="I17" s="260"/>
      <c r="J17" s="260"/>
    </row>
    <row r="18" spans="1:14" s="92" customFormat="1" ht="37.5" customHeight="1">
      <c r="A18" s="262" t="s">
        <v>737</v>
      </c>
      <c r="B18" s="262"/>
      <c r="C18" s="262"/>
      <c r="D18" s="262"/>
      <c r="E18" s="262"/>
      <c r="F18" s="262"/>
      <c r="G18" s="262"/>
      <c r="H18" s="262"/>
      <c r="I18" s="262"/>
      <c r="J18" s="262"/>
    </row>
    <row r="19" spans="1:14" s="92" customFormat="1" ht="10.5" customHeight="1">
      <c r="A19" s="125"/>
      <c r="B19" s="125"/>
      <c r="C19" s="125"/>
      <c r="D19" s="125"/>
      <c r="E19" s="125"/>
      <c r="F19" s="125"/>
      <c r="G19" s="125"/>
      <c r="H19" s="125"/>
      <c r="I19" s="125"/>
      <c r="J19" s="125"/>
    </row>
    <row r="20" spans="1:14" s="92" customFormat="1" ht="30.75" customHeight="1">
      <c r="A20" s="262" t="s">
        <v>753</v>
      </c>
      <c r="B20" s="262"/>
      <c r="C20" s="262"/>
      <c r="D20" s="262"/>
      <c r="E20" s="262"/>
      <c r="F20" s="262"/>
      <c r="G20" s="262"/>
      <c r="H20" s="262"/>
      <c r="I20" s="262"/>
      <c r="J20" s="262"/>
    </row>
    <row r="21" spans="1:14" ht="10.5" customHeight="1">
      <c r="A21" s="125"/>
      <c r="B21" s="125"/>
      <c r="C21" s="125"/>
      <c r="D21" s="125"/>
      <c r="E21" s="125"/>
      <c r="F21" s="125"/>
      <c r="G21" s="125"/>
      <c r="H21" s="125"/>
      <c r="I21" s="125"/>
      <c r="J21" s="125"/>
    </row>
    <row r="22" spans="1:14" ht="30" customHeight="1">
      <c r="A22" s="261" t="s">
        <v>485</v>
      </c>
      <c r="B22" s="261" t="s">
        <v>486</v>
      </c>
      <c r="C22" s="261" t="s">
        <v>487</v>
      </c>
      <c r="D22" s="261" t="s">
        <v>488</v>
      </c>
      <c r="E22" s="261"/>
      <c r="F22" s="261"/>
      <c r="G22" s="261"/>
      <c r="H22" s="261" t="s">
        <v>749</v>
      </c>
      <c r="I22" s="261" t="s">
        <v>489</v>
      </c>
      <c r="J22" s="261" t="s">
        <v>174</v>
      </c>
      <c r="K22" s="261" t="s">
        <v>175</v>
      </c>
    </row>
    <row r="23" spans="1:14" ht="15.75" customHeight="1">
      <c r="A23" s="261"/>
      <c r="B23" s="261"/>
      <c r="C23" s="261"/>
      <c r="D23" s="261" t="s">
        <v>447</v>
      </c>
      <c r="E23" s="261" t="s">
        <v>227</v>
      </c>
      <c r="F23" s="261"/>
      <c r="G23" s="261"/>
      <c r="H23" s="261"/>
      <c r="I23" s="261"/>
      <c r="J23" s="261"/>
      <c r="K23" s="261"/>
    </row>
    <row r="24" spans="1:14" ht="136.5" customHeight="1">
      <c r="A24" s="261"/>
      <c r="B24" s="261"/>
      <c r="C24" s="261"/>
      <c r="D24" s="261"/>
      <c r="E24" s="142" t="s">
        <v>490</v>
      </c>
      <c r="F24" s="142" t="s">
        <v>491</v>
      </c>
      <c r="G24" s="142" t="s">
        <v>492</v>
      </c>
      <c r="H24" s="261"/>
      <c r="I24" s="261"/>
      <c r="J24" s="261"/>
      <c r="K24" s="261"/>
    </row>
    <row r="25" spans="1:14">
      <c r="A25" s="142">
        <v>1</v>
      </c>
      <c r="B25" s="142">
        <v>2</v>
      </c>
      <c r="C25" s="142">
        <v>3</v>
      </c>
      <c r="D25" s="142">
        <v>4</v>
      </c>
      <c r="E25" s="142">
        <v>5</v>
      </c>
      <c r="F25" s="142">
        <v>6</v>
      </c>
      <c r="G25" s="142">
        <v>7</v>
      </c>
      <c r="H25" s="142">
        <v>8</v>
      </c>
      <c r="I25" s="142">
        <v>9</v>
      </c>
      <c r="J25" s="282">
        <v>10</v>
      </c>
      <c r="K25" s="283"/>
    </row>
    <row r="26" spans="1:14" ht="44.25" customHeight="1">
      <c r="A26" s="142">
        <v>1</v>
      </c>
      <c r="B26" s="142" t="s">
        <v>741</v>
      </c>
      <c r="C26" s="151">
        <v>3</v>
      </c>
      <c r="D26" s="151">
        <f>E26+F26+G26</f>
        <v>46224.988658836337</v>
      </c>
      <c r="E26" s="151">
        <v>32636</v>
      </c>
      <c r="F26" s="151"/>
      <c r="G26" s="151">
        <v>13588.988658836337</v>
      </c>
      <c r="H26" s="142">
        <v>80</v>
      </c>
      <c r="I26" s="142">
        <v>0.7</v>
      </c>
      <c r="J26" s="148">
        <f t="shared" ref="J26:J32" si="0">ROUND(C26*D26*(1+H26/100+I26)*12,0)</f>
        <v>4160249</v>
      </c>
      <c r="K26" s="148">
        <f>J26</f>
        <v>4160249</v>
      </c>
      <c r="N26" s="90"/>
    </row>
    <row r="27" spans="1:14" ht="45.75" customHeight="1">
      <c r="A27" s="142">
        <v>2</v>
      </c>
      <c r="B27" s="142" t="s">
        <v>742</v>
      </c>
      <c r="C27" s="151">
        <v>1</v>
      </c>
      <c r="D27" s="151">
        <f t="shared" ref="D27:D32" si="1">E27+F27+G27</f>
        <v>7605.9322996275951</v>
      </c>
      <c r="E27" s="151">
        <v>5370</v>
      </c>
      <c r="F27" s="151"/>
      <c r="G27" s="151">
        <v>2235.9322996275951</v>
      </c>
      <c r="H27" s="142">
        <v>80</v>
      </c>
      <c r="I27" s="142">
        <v>0.7</v>
      </c>
      <c r="J27" s="148">
        <f t="shared" si="0"/>
        <v>228178</v>
      </c>
      <c r="K27" s="148">
        <f t="shared" ref="K27:K32" si="2">J27</f>
        <v>228178</v>
      </c>
      <c r="N27" s="90"/>
    </row>
    <row r="28" spans="1:14" ht="25">
      <c r="A28" s="142">
        <v>3</v>
      </c>
      <c r="B28" s="152" t="s">
        <v>746</v>
      </c>
      <c r="C28" s="177">
        <v>39.4</v>
      </c>
      <c r="D28" s="177">
        <f t="shared" si="1"/>
        <v>13101.427515970636</v>
      </c>
      <c r="E28" s="177">
        <v>4204.74</v>
      </c>
      <c r="F28" s="177"/>
      <c r="G28" s="177">
        <v>8896.687515970636</v>
      </c>
      <c r="H28" s="142">
        <v>80</v>
      </c>
      <c r="I28" s="142">
        <v>0.7</v>
      </c>
      <c r="J28" s="148">
        <f t="shared" si="0"/>
        <v>15485887</v>
      </c>
      <c r="K28" s="148">
        <f t="shared" si="2"/>
        <v>15485887</v>
      </c>
      <c r="N28" s="90"/>
    </row>
    <row r="29" spans="1:14" ht="25">
      <c r="A29" s="142">
        <v>4</v>
      </c>
      <c r="B29" s="152" t="s">
        <v>747</v>
      </c>
      <c r="C29" s="151">
        <v>1</v>
      </c>
      <c r="D29" s="151">
        <f t="shared" si="1"/>
        <v>5980.6787375999993</v>
      </c>
      <c r="E29" s="151">
        <v>2815</v>
      </c>
      <c r="F29" s="151"/>
      <c r="G29" s="151">
        <v>3165.6787375999997</v>
      </c>
      <c r="H29" s="142">
        <v>80</v>
      </c>
      <c r="I29" s="142">
        <v>0.7</v>
      </c>
      <c r="J29" s="148">
        <f t="shared" si="0"/>
        <v>179420</v>
      </c>
      <c r="K29" s="148">
        <f t="shared" si="2"/>
        <v>179420</v>
      </c>
      <c r="N29" s="90"/>
    </row>
    <row r="30" spans="1:14" ht="25">
      <c r="A30" s="142">
        <v>5</v>
      </c>
      <c r="B30" s="152" t="s">
        <v>748</v>
      </c>
      <c r="C30" s="151">
        <v>3</v>
      </c>
      <c r="D30" s="151">
        <f t="shared" si="1"/>
        <v>5204.7422694771776</v>
      </c>
      <c r="E30" s="151">
        <v>3005</v>
      </c>
      <c r="F30" s="151">
        <v>0</v>
      </c>
      <c r="G30" s="151">
        <v>2199.7422694771781</v>
      </c>
      <c r="H30" s="142">
        <v>80</v>
      </c>
      <c r="I30" s="142">
        <v>0.7</v>
      </c>
      <c r="J30" s="148">
        <f t="shared" si="0"/>
        <v>468427</v>
      </c>
      <c r="K30" s="148">
        <f t="shared" si="2"/>
        <v>468427</v>
      </c>
      <c r="N30" s="90"/>
    </row>
    <row r="31" spans="1:14" ht="31.5" customHeight="1">
      <c r="A31" s="142">
        <v>6</v>
      </c>
      <c r="B31" s="152" t="s">
        <v>744</v>
      </c>
      <c r="C31" s="151">
        <v>3.5</v>
      </c>
      <c r="D31" s="151">
        <f t="shared" si="1"/>
        <v>4573.6397816957478</v>
      </c>
      <c r="E31" s="151">
        <v>3160.43</v>
      </c>
      <c r="F31" s="151"/>
      <c r="G31" s="151">
        <v>1413.2097816957482</v>
      </c>
      <c r="H31" s="142">
        <v>80</v>
      </c>
      <c r="I31" s="142">
        <v>0.7</v>
      </c>
      <c r="J31" s="148">
        <f t="shared" si="0"/>
        <v>480232</v>
      </c>
      <c r="K31" s="148">
        <f t="shared" si="2"/>
        <v>480232</v>
      </c>
      <c r="N31" s="90"/>
    </row>
    <row r="32" spans="1:14" ht="30" customHeight="1">
      <c r="A32" s="142">
        <v>7</v>
      </c>
      <c r="B32" s="152" t="s">
        <v>745</v>
      </c>
      <c r="C32" s="151">
        <v>23.75</v>
      </c>
      <c r="D32" s="151">
        <f t="shared" si="1"/>
        <v>3737.4131501837846</v>
      </c>
      <c r="E32" s="151">
        <v>2323.39</v>
      </c>
      <c r="F32" s="151">
        <v>233.61</v>
      </c>
      <c r="G32" s="151">
        <v>1180.4131501837849</v>
      </c>
      <c r="H32" s="142">
        <v>80</v>
      </c>
      <c r="I32" s="142">
        <v>0.7</v>
      </c>
      <c r="J32" s="148">
        <f t="shared" si="0"/>
        <v>2662907</v>
      </c>
      <c r="K32" s="148">
        <f t="shared" si="2"/>
        <v>2662907</v>
      </c>
      <c r="N32" s="90"/>
    </row>
    <row r="33" spans="1:14" s="128" customFormat="1">
      <c r="A33" s="263" t="s">
        <v>493</v>
      </c>
      <c r="B33" s="263"/>
      <c r="C33" s="153" t="s">
        <v>494</v>
      </c>
      <c r="D33" s="153"/>
      <c r="E33" s="153" t="s">
        <v>494</v>
      </c>
      <c r="F33" s="153" t="s">
        <v>494</v>
      </c>
      <c r="G33" s="153" t="s">
        <v>494</v>
      </c>
      <c r="H33" s="153" t="s">
        <v>494</v>
      </c>
      <c r="I33" s="153" t="s">
        <v>494</v>
      </c>
      <c r="J33" s="154">
        <f>SUM(J26:J32)</f>
        <v>23665300</v>
      </c>
      <c r="K33" s="154">
        <f>SUM(K26:K32)</f>
        <v>23665300</v>
      </c>
      <c r="L33" s="180">
        <f ca="1">'р.3 2018'!D57</f>
        <v>23665300</v>
      </c>
      <c r="M33" s="181">
        <f>L33-J33</f>
        <v>0</v>
      </c>
      <c r="N33" s="181"/>
    </row>
    <row r="34" spans="1:14" ht="15.5">
      <c r="A34" s="125"/>
      <c r="B34" s="125"/>
      <c r="C34" s="125"/>
      <c r="D34" s="125"/>
      <c r="E34" s="125"/>
      <c r="F34" s="125"/>
      <c r="G34" s="125"/>
      <c r="H34" s="125"/>
      <c r="I34" s="125"/>
      <c r="J34" s="125"/>
    </row>
  </sheetData>
  <mergeCells count="28">
    <mergeCell ref="K22:K24"/>
    <mergeCell ref="J25:K25"/>
    <mergeCell ref="E23:G23"/>
    <mergeCell ref="A33:B33"/>
    <mergeCell ref="A15:J15"/>
    <mergeCell ref="A17:J17"/>
    <mergeCell ref="A18:J18"/>
    <mergeCell ref="A20:J20"/>
    <mergeCell ref="A22:A24"/>
    <mergeCell ref="B22:B24"/>
    <mergeCell ref="A7:J7"/>
    <mergeCell ref="A8:J8"/>
    <mergeCell ref="A9:J9"/>
    <mergeCell ref="A11:J11"/>
    <mergeCell ref="H22:H24"/>
    <mergeCell ref="I22:I24"/>
    <mergeCell ref="C22:C24"/>
    <mergeCell ref="D22:G22"/>
    <mergeCell ref="A12:J12"/>
    <mergeCell ref="A13:J13"/>
    <mergeCell ref="J22:J24"/>
    <mergeCell ref="D23:D24"/>
    <mergeCell ref="A14:J14"/>
    <mergeCell ref="A2:J2"/>
    <mergeCell ref="A3:J3"/>
    <mergeCell ref="A4:J4"/>
    <mergeCell ref="A5:J5"/>
    <mergeCell ref="A6:J6"/>
  </mergeCells>
  <phoneticPr fontId="0" type="noConversion"/>
  <pageMargins left="1.0629921259842521" right="0.47244094488188981" top="0.47244094488188981" bottom="0.47244094488188981" header="0.19685039370078741" footer="0.19685039370078741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CFF"/>
  </sheetPr>
  <dimension ref="A1:U48"/>
  <sheetViews>
    <sheetView topLeftCell="A25" zoomScale="110" zoomScaleNormal="110" workbookViewId="0">
      <selection activeCell="D27" sqref="D27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17.54296875" style="70" customWidth="1"/>
    <col min="12" max="13" width="12.1796875" style="70" bestFit="1" customWidth="1"/>
    <col min="14" max="14" width="9.1796875" style="70"/>
    <col min="15" max="15" width="12.1796875" style="70" bestFit="1" customWidth="1"/>
    <col min="16" max="16" width="9.1796875" style="70"/>
    <col min="17" max="17" width="12.1796875" style="70" bestFit="1" customWidth="1"/>
    <col min="18" max="18" width="9.1796875" style="70"/>
    <col min="19" max="19" width="13.26953125" style="70" bestFit="1" customWidth="1"/>
    <col min="20" max="20" width="9.1796875" style="70"/>
    <col min="21" max="21" width="12.1796875" style="70" bestFit="1" customWidth="1"/>
    <col min="22" max="16384" width="9.1796875" style="70"/>
  </cols>
  <sheetData>
    <row r="1" spans="1:12" ht="16.5" customHeight="1">
      <c r="A1" s="272" t="s">
        <v>134</v>
      </c>
      <c r="B1" s="270"/>
      <c r="C1" s="270"/>
      <c r="D1" s="270"/>
      <c r="E1" s="270"/>
      <c r="F1" s="270"/>
      <c r="G1" s="270"/>
      <c r="H1" s="270"/>
      <c r="I1" s="270"/>
      <c r="J1" s="270"/>
    </row>
    <row r="2" spans="1:12" ht="15.5">
      <c r="A2" s="273" t="s">
        <v>502</v>
      </c>
      <c r="B2" s="273"/>
      <c r="C2" s="273"/>
      <c r="D2" s="273"/>
      <c r="E2" s="273"/>
      <c r="F2" s="273"/>
      <c r="G2" s="273"/>
      <c r="H2" s="273"/>
      <c r="I2" s="273"/>
      <c r="J2" s="273"/>
    </row>
    <row r="3" spans="1:12" ht="12.75" customHeight="1">
      <c r="A3" s="273" t="s">
        <v>503</v>
      </c>
      <c r="B3" s="273"/>
      <c r="C3" s="273"/>
      <c r="D3" s="273"/>
      <c r="E3" s="273"/>
      <c r="F3" s="273"/>
      <c r="G3" s="273"/>
      <c r="H3" s="273"/>
      <c r="I3" s="273"/>
      <c r="J3" s="273"/>
    </row>
    <row r="4" spans="1:12" ht="30" customHeight="1">
      <c r="A4" s="270" t="s">
        <v>752</v>
      </c>
      <c r="B4" s="270"/>
      <c r="C4" s="270"/>
      <c r="D4" s="270"/>
      <c r="E4" s="270"/>
      <c r="F4" s="270"/>
      <c r="G4" s="270"/>
      <c r="H4" s="270"/>
      <c r="I4" s="270"/>
      <c r="J4" s="270"/>
    </row>
    <row r="5" spans="1:12" ht="9" customHeight="1">
      <c r="A5" s="125"/>
      <c r="B5" s="125"/>
      <c r="C5" s="125"/>
      <c r="D5" s="125"/>
      <c r="E5" s="125"/>
      <c r="F5" s="125"/>
      <c r="G5" s="125"/>
      <c r="H5" s="125"/>
      <c r="I5" s="125"/>
      <c r="J5" s="125"/>
    </row>
    <row r="6" spans="1:12" ht="62">
      <c r="A6" s="123" t="s">
        <v>485</v>
      </c>
      <c r="B6" s="268" t="s">
        <v>497</v>
      </c>
      <c r="C6" s="268"/>
      <c r="D6" s="268" t="s">
        <v>498</v>
      </c>
      <c r="E6" s="268"/>
      <c r="F6" s="268"/>
      <c r="G6" s="123" t="s">
        <v>499</v>
      </c>
      <c r="H6" s="123" t="s">
        <v>754</v>
      </c>
      <c r="I6" s="268" t="s">
        <v>176</v>
      </c>
      <c r="J6" s="268"/>
      <c r="K6" s="183" t="s">
        <v>177</v>
      </c>
      <c r="L6" s="188"/>
    </row>
    <row r="7" spans="1:12" ht="15.75" customHeight="1">
      <c r="A7" s="123">
        <v>1</v>
      </c>
      <c r="B7" s="268">
        <v>2</v>
      </c>
      <c r="C7" s="268"/>
      <c r="D7" s="268">
        <v>3</v>
      </c>
      <c r="E7" s="268"/>
      <c r="F7" s="268"/>
      <c r="G7" s="123">
        <v>4</v>
      </c>
      <c r="H7" s="123">
        <v>5</v>
      </c>
      <c r="I7" s="268">
        <v>6</v>
      </c>
      <c r="J7" s="268"/>
      <c r="K7" s="191"/>
      <c r="L7" s="137"/>
    </row>
    <row r="8" spans="1:12" ht="60.75" customHeight="1">
      <c r="A8" s="123">
        <v>2</v>
      </c>
      <c r="B8" s="269" t="s">
        <v>757</v>
      </c>
      <c r="C8" s="269"/>
      <c r="D8" s="267">
        <v>800</v>
      </c>
      <c r="E8" s="267"/>
      <c r="F8" s="267"/>
      <c r="G8" s="123">
        <v>2</v>
      </c>
      <c r="H8" s="123">
        <v>6</v>
      </c>
      <c r="I8" s="267">
        <f t="shared" ref="I8:I24" si="0">D8*G8*H8</f>
        <v>9600</v>
      </c>
      <c r="J8" s="267"/>
      <c r="K8" s="192">
        <f>I8</f>
        <v>9600</v>
      </c>
      <c r="L8" s="189"/>
    </row>
    <row r="9" spans="1:12" ht="66" customHeight="1">
      <c r="A9" s="123">
        <v>3</v>
      </c>
      <c r="B9" s="264" t="s">
        <v>755</v>
      </c>
      <c r="C9" s="265"/>
      <c r="D9" s="267">
        <f>2000*2</f>
        <v>4000</v>
      </c>
      <c r="E9" s="267"/>
      <c r="F9" s="267"/>
      <c r="G9" s="123">
        <v>1</v>
      </c>
      <c r="H9" s="99">
        <v>1</v>
      </c>
      <c r="I9" s="267">
        <f t="shared" si="0"/>
        <v>4000</v>
      </c>
      <c r="J9" s="267"/>
      <c r="K9" s="192">
        <f t="shared" ref="K9:K23" si="1">I9</f>
        <v>4000</v>
      </c>
    </row>
    <row r="10" spans="1:12" ht="48.75" customHeight="1">
      <c r="A10" s="123">
        <v>4</v>
      </c>
      <c r="B10" s="269" t="s">
        <v>758</v>
      </c>
      <c r="C10" s="269"/>
      <c r="D10" s="267">
        <v>500</v>
      </c>
      <c r="E10" s="267"/>
      <c r="F10" s="267"/>
      <c r="G10" s="123">
        <v>1</v>
      </c>
      <c r="H10" s="123">
        <v>4</v>
      </c>
      <c r="I10" s="267">
        <f t="shared" si="0"/>
        <v>2000</v>
      </c>
      <c r="J10" s="267"/>
      <c r="K10" s="192">
        <f t="shared" si="1"/>
        <v>2000</v>
      </c>
    </row>
    <row r="11" spans="1:12" ht="47.25" customHeight="1">
      <c r="A11" s="123">
        <v>6</v>
      </c>
      <c r="B11" s="269" t="s">
        <v>759</v>
      </c>
      <c r="C11" s="269"/>
      <c r="D11" s="267">
        <v>800</v>
      </c>
      <c r="E11" s="267"/>
      <c r="F11" s="267"/>
      <c r="G11" s="123">
        <v>2</v>
      </c>
      <c r="H11" s="123">
        <v>3</v>
      </c>
      <c r="I11" s="267">
        <f t="shared" si="0"/>
        <v>4800</v>
      </c>
      <c r="J11" s="267"/>
      <c r="K11" s="192">
        <f t="shared" si="1"/>
        <v>4800</v>
      </c>
    </row>
    <row r="12" spans="1:12" ht="46.5" customHeight="1">
      <c r="A12" s="123">
        <v>8</v>
      </c>
      <c r="B12" s="269" t="s">
        <v>760</v>
      </c>
      <c r="C12" s="269"/>
      <c r="D12" s="267">
        <v>800</v>
      </c>
      <c r="E12" s="267"/>
      <c r="F12" s="267"/>
      <c r="G12" s="123">
        <v>1</v>
      </c>
      <c r="H12" s="123">
        <v>4</v>
      </c>
      <c r="I12" s="267">
        <f t="shared" si="0"/>
        <v>3200</v>
      </c>
      <c r="J12" s="267"/>
      <c r="K12" s="192">
        <f t="shared" si="1"/>
        <v>3200</v>
      </c>
    </row>
    <row r="13" spans="1:12" ht="49.5" customHeight="1">
      <c r="A13" s="123">
        <v>10</v>
      </c>
      <c r="B13" s="269" t="s">
        <v>761</v>
      </c>
      <c r="C13" s="269"/>
      <c r="D13" s="267">
        <v>800</v>
      </c>
      <c r="E13" s="267"/>
      <c r="F13" s="267"/>
      <c r="G13" s="123">
        <v>1</v>
      </c>
      <c r="H13" s="123">
        <f>3+4+4</f>
        <v>11</v>
      </c>
      <c r="I13" s="267">
        <f t="shared" si="0"/>
        <v>8800</v>
      </c>
      <c r="J13" s="267"/>
      <c r="K13" s="192">
        <f t="shared" si="1"/>
        <v>8800</v>
      </c>
    </row>
    <row r="14" spans="1:12" ht="47.25" customHeight="1">
      <c r="A14" s="123">
        <v>12</v>
      </c>
      <c r="B14" s="269" t="s">
        <v>762</v>
      </c>
      <c r="C14" s="269"/>
      <c r="D14" s="267">
        <v>800</v>
      </c>
      <c r="E14" s="267"/>
      <c r="F14" s="267"/>
      <c r="G14" s="123">
        <v>1</v>
      </c>
      <c r="H14" s="123">
        <v>5</v>
      </c>
      <c r="I14" s="267">
        <f t="shared" si="0"/>
        <v>4000</v>
      </c>
      <c r="J14" s="267"/>
      <c r="K14" s="192">
        <f t="shared" si="1"/>
        <v>4000</v>
      </c>
    </row>
    <row r="15" spans="1:12" ht="47.25" customHeight="1">
      <c r="A15" s="123">
        <v>14</v>
      </c>
      <c r="B15" s="271" t="s">
        <v>763</v>
      </c>
      <c r="C15" s="271"/>
      <c r="D15" s="267">
        <v>800</v>
      </c>
      <c r="E15" s="267"/>
      <c r="F15" s="267"/>
      <c r="G15" s="123">
        <v>1</v>
      </c>
      <c r="H15" s="123">
        <v>3</v>
      </c>
      <c r="I15" s="267">
        <f t="shared" si="0"/>
        <v>2400</v>
      </c>
      <c r="J15" s="267"/>
      <c r="K15" s="192">
        <f t="shared" si="1"/>
        <v>2400</v>
      </c>
    </row>
    <row r="16" spans="1:12" ht="45" customHeight="1">
      <c r="A16" s="123">
        <v>16</v>
      </c>
      <c r="B16" s="271" t="s">
        <v>764</v>
      </c>
      <c r="C16" s="271"/>
      <c r="D16" s="267">
        <v>800</v>
      </c>
      <c r="E16" s="267"/>
      <c r="F16" s="267"/>
      <c r="G16" s="123">
        <v>1</v>
      </c>
      <c r="H16" s="123">
        <v>5</v>
      </c>
      <c r="I16" s="267">
        <f t="shared" si="0"/>
        <v>4000</v>
      </c>
      <c r="J16" s="267"/>
      <c r="K16" s="192">
        <f t="shared" si="1"/>
        <v>4000</v>
      </c>
    </row>
    <row r="17" spans="1:21" ht="44.25" customHeight="1">
      <c r="A17" s="123">
        <v>18</v>
      </c>
      <c r="B17" s="269" t="s">
        <v>765</v>
      </c>
      <c r="C17" s="269"/>
      <c r="D17" s="267">
        <v>800</v>
      </c>
      <c r="E17" s="267"/>
      <c r="F17" s="267"/>
      <c r="G17" s="123">
        <v>1</v>
      </c>
      <c r="H17" s="123">
        <v>3</v>
      </c>
      <c r="I17" s="267">
        <f t="shared" si="0"/>
        <v>2400</v>
      </c>
      <c r="J17" s="267"/>
      <c r="K17" s="192">
        <f t="shared" si="1"/>
        <v>2400</v>
      </c>
    </row>
    <row r="18" spans="1:21" ht="43.5" customHeight="1">
      <c r="A18" s="123">
        <v>20</v>
      </c>
      <c r="B18" s="269" t="s">
        <v>766</v>
      </c>
      <c r="C18" s="269"/>
      <c r="D18" s="267">
        <v>800</v>
      </c>
      <c r="E18" s="267"/>
      <c r="F18" s="267"/>
      <c r="G18" s="123">
        <v>2</v>
      </c>
      <c r="H18" s="123">
        <v>5</v>
      </c>
      <c r="I18" s="267">
        <f t="shared" si="0"/>
        <v>8000</v>
      </c>
      <c r="J18" s="267"/>
      <c r="K18" s="192">
        <f t="shared" si="1"/>
        <v>8000</v>
      </c>
    </row>
    <row r="19" spans="1:21" ht="72" customHeight="1">
      <c r="A19" s="123">
        <v>22</v>
      </c>
      <c r="B19" s="269" t="s">
        <v>767</v>
      </c>
      <c r="C19" s="269"/>
      <c r="D19" s="267">
        <f>700+100</f>
        <v>800</v>
      </c>
      <c r="E19" s="267"/>
      <c r="F19" s="267"/>
      <c r="G19" s="100">
        <v>2</v>
      </c>
      <c r="H19" s="100">
        <v>5</v>
      </c>
      <c r="I19" s="267">
        <f t="shared" si="0"/>
        <v>8000</v>
      </c>
      <c r="J19" s="267"/>
      <c r="K19" s="192">
        <f t="shared" si="1"/>
        <v>8000</v>
      </c>
    </row>
    <row r="20" spans="1:21" ht="61.5" customHeight="1">
      <c r="A20" s="123">
        <v>23</v>
      </c>
      <c r="B20" s="269" t="s">
        <v>768</v>
      </c>
      <c r="C20" s="269"/>
      <c r="D20" s="267">
        <f>(2150+200)*2</f>
        <v>4700</v>
      </c>
      <c r="E20" s="267"/>
      <c r="F20" s="267"/>
      <c r="G20" s="100">
        <v>2</v>
      </c>
      <c r="H20" s="101">
        <v>1</v>
      </c>
      <c r="I20" s="267">
        <f t="shared" si="0"/>
        <v>9400</v>
      </c>
      <c r="J20" s="267"/>
      <c r="K20" s="192">
        <f t="shared" si="1"/>
        <v>9400</v>
      </c>
    </row>
    <row r="21" spans="1:21" ht="60" customHeight="1">
      <c r="A21" s="123">
        <v>24</v>
      </c>
      <c r="B21" s="269" t="s">
        <v>769</v>
      </c>
      <c r="C21" s="269"/>
      <c r="D21" s="267">
        <f>600+100</f>
        <v>700</v>
      </c>
      <c r="E21" s="267"/>
      <c r="F21" s="267"/>
      <c r="G21" s="100">
        <v>2</v>
      </c>
      <c r="H21" s="100">
        <v>4</v>
      </c>
      <c r="I21" s="267">
        <f t="shared" si="0"/>
        <v>5600</v>
      </c>
      <c r="J21" s="267"/>
      <c r="K21" s="192">
        <f t="shared" si="1"/>
        <v>5600</v>
      </c>
    </row>
    <row r="22" spans="1:21" ht="47.25" customHeight="1">
      <c r="A22" s="123">
        <v>26</v>
      </c>
      <c r="B22" s="269" t="s">
        <v>770</v>
      </c>
      <c r="C22" s="269"/>
      <c r="D22" s="267">
        <v>800</v>
      </c>
      <c r="E22" s="267"/>
      <c r="F22" s="267"/>
      <c r="G22" s="100">
        <v>1</v>
      </c>
      <c r="H22" s="100">
        <v>5</v>
      </c>
      <c r="I22" s="267">
        <f t="shared" si="0"/>
        <v>4000</v>
      </c>
      <c r="J22" s="267"/>
      <c r="K22" s="192">
        <f t="shared" si="1"/>
        <v>4000</v>
      </c>
      <c r="O22" s="90"/>
    </row>
    <row r="23" spans="1:21" ht="42.75" customHeight="1">
      <c r="A23" s="123">
        <v>27</v>
      </c>
      <c r="B23" s="269" t="s">
        <v>771</v>
      </c>
      <c r="C23" s="269"/>
      <c r="D23" s="267">
        <f>(3800+150)*2</f>
        <v>7900</v>
      </c>
      <c r="E23" s="267"/>
      <c r="F23" s="267"/>
      <c r="G23" s="100">
        <v>1</v>
      </c>
      <c r="H23" s="101">
        <v>1</v>
      </c>
      <c r="I23" s="267">
        <f t="shared" si="0"/>
        <v>7900</v>
      </c>
      <c r="J23" s="267"/>
      <c r="K23" s="192">
        <f t="shared" si="1"/>
        <v>7900</v>
      </c>
      <c r="O23" s="90"/>
    </row>
    <row r="24" spans="1:21" ht="47.25" customHeight="1">
      <c r="A24" s="123">
        <v>28</v>
      </c>
      <c r="B24" s="269" t="s">
        <v>772</v>
      </c>
      <c r="C24" s="269"/>
      <c r="D24" s="267">
        <f>800</f>
        <v>800</v>
      </c>
      <c r="E24" s="267"/>
      <c r="F24" s="267"/>
      <c r="G24" s="100">
        <v>1</v>
      </c>
      <c r="H24" s="100">
        <v>7</v>
      </c>
      <c r="I24" s="267">
        <f t="shared" si="0"/>
        <v>5600</v>
      </c>
      <c r="J24" s="267"/>
      <c r="K24" s="192">
        <f>I24</f>
        <v>5600</v>
      </c>
      <c r="L24" s="189"/>
      <c r="M24" s="90"/>
      <c r="O24" s="90"/>
      <c r="Q24" s="90"/>
      <c r="S24" s="90"/>
      <c r="U24" s="90"/>
    </row>
    <row r="25" spans="1:21" ht="15.5">
      <c r="A25" s="123"/>
      <c r="B25" s="268" t="s">
        <v>493</v>
      </c>
      <c r="C25" s="268"/>
      <c r="D25" s="268" t="s">
        <v>494</v>
      </c>
      <c r="E25" s="268"/>
      <c r="F25" s="268"/>
      <c r="G25" s="123" t="s">
        <v>494</v>
      </c>
      <c r="H25" s="123" t="s">
        <v>494</v>
      </c>
      <c r="I25" s="267">
        <f>SUM(I8:J24)</f>
        <v>93700</v>
      </c>
      <c r="J25" s="266"/>
      <c r="K25" s="192">
        <f>SUM(K8:K24)</f>
        <v>93700</v>
      </c>
      <c r="L25" s="190"/>
    </row>
    <row r="27" spans="1:21" ht="33.75" customHeight="1"/>
    <row r="28" spans="1:21" ht="32.25" customHeight="1">
      <c r="A28" s="270" t="s">
        <v>774</v>
      </c>
      <c r="B28" s="270"/>
      <c r="C28" s="270"/>
      <c r="D28" s="270"/>
      <c r="E28" s="270"/>
      <c r="F28" s="270"/>
      <c r="G28" s="270"/>
      <c r="H28" s="270"/>
      <c r="I28" s="270"/>
      <c r="J28" s="270"/>
    </row>
    <row r="29" spans="1:21" ht="15.5">
      <c r="A29" s="125"/>
      <c r="B29" s="125"/>
      <c r="C29" s="125"/>
      <c r="D29" s="125"/>
      <c r="E29" s="125"/>
      <c r="F29" s="125"/>
      <c r="G29" s="125"/>
      <c r="H29" s="125"/>
      <c r="I29" s="125"/>
      <c r="J29" s="125"/>
    </row>
    <row r="30" spans="1:21" ht="63" customHeight="1">
      <c r="A30" s="123" t="s">
        <v>485</v>
      </c>
      <c r="B30" s="268" t="s">
        <v>497</v>
      </c>
      <c r="C30" s="268"/>
      <c r="D30" s="268" t="s">
        <v>498</v>
      </c>
      <c r="E30" s="268"/>
      <c r="F30" s="268"/>
      <c r="G30" s="123" t="s">
        <v>499</v>
      </c>
      <c r="H30" s="123" t="s">
        <v>500</v>
      </c>
      <c r="I30" s="268" t="s">
        <v>176</v>
      </c>
      <c r="J30" s="268"/>
      <c r="K30" s="183" t="s">
        <v>177</v>
      </c>
    </row>
    <row r="31" spans="1:21" ht="24" customHeight="1">
      <c r="A31" s="123">
        <v>1</v>
      </c>
      <c r="B31" s="268">
        <v>2</v>
      </c>
      <c r="C31" s="268"/>
      <c r="D31" s="268">
        <v>3</v>
      </c>
      <c r="E31" s="268"/>
      <c r="F31" s="268"/>
      <c r="G31" s="123">
        <v>4</v>
      </c>
      <c r="H31" s="123">
        <v>5</v>
      </c>
      <c r="I31" s="349">
        <v>6</v>
      </c>
      <c r="J31" s="350"/>
      <c r="K31" s="350"/>
    </row>
    <row r="32" spans="1:21" ht="63" customHeight="1">
      <c r="A32" s="123">
        <v>1</v>
      </c>
      <c r="B32" s="264" t="s">
        <v>773</v>
      </c>
      <c r="C32" s="265"/>
      <c r="D32" s="266">
        <v>500</v>
      </c>
      <c r="E32" s="266"/>
      <c r="F32" s="266"/>
      <c r="G32" s="123">
        <v>2</v>
      </c>
      <c r="H32" s="123">
        <v>8</v>
      </c>
      <c r="I32" s="267">
        <f t="shared" ref="I32:I45" si="2">D32*G32*H32</f>
        <v>8000</v>
      </c>
      <c r="J32" s="302"/>
      <c r="K32" s="192">
        <f>I32</f>
        <v>8000</v>
      </c>
      <c r="L32" s="189"/>
    </row>
    <row r="33" spans="1:12" ht="47.25" customHeight="1">
      <c r="A33" s="123">
        <v>2</v>
      </c>
      <c r="B33" s="264" t="s">
        <v>775</v>
      </c>
      <c r="C33" s="265"/>
      <c r="D33" s="266">
        <v>500</v>
      </c>
      <c r="E33" s="266"/>
      <c r="F33" s="266"/>
      <c r="G33" s="123">
        <v>1</v>
      </c>
      <c r="H33" s="123">
        <v>6</v>
      </c>
      <c r="I33" s="267">
        <f t="shared" si="2"/>
        <v>3000</v>
      </c>
      <c r="J33" s="267"/>
      <c r="K33" s="192">
        <f t="shared" ref="K33:K45" si="3">I33</f>
        <v>3000</v>
      </c>
    </row>
    <row r="34" spans="1:12" ht="43.5" customHeight="1">
      <c r="A34" s="123">
        <v>3</v>
      </c>
      <c r="B34" s="264" t="s">
        <v>776</v>
      </c>
      <c r="C34" s="265"/>
      <c r="D34" s="266">
        <v>500</v>
      </c>
      <c r="E34" s="266"/>
      <c r="F34" s="266"/>
      <c r="G34" s="123">
        <v>2</v>
      </c>
      <c r="H34" s="123">
        <v>4</v>
      </c>
      <c r="I34" s="267">
        <f t="shared" si="2"/>
        <v>4000</v>
      </c>
      <c r="J34" s="267"/>
      <c r="K34" s="192">
        <f t="shared" si="3"/>
        <v>4000</v>
      </c>
    </row>
    <row r="35" spans="1:12" ht="61.5" customHeight="1">
      <c r="A35" s="123">
        <v>4</v>
      </c>
      <c r="B35" s="264" t="s">
        <v>776</v>
      </c>
      <c r="C35" s="265"/>
      <c r="D35" s="266">
        <v>500</v>
      </c>
      <c r="E35" s="266"/>
      <c r="F35" s="266"/>
      <c r="G35" s="123">
        <v>1</v>
      </c>
      <c r="H35" s="123">
        <v>6</v>
      </c>
      <c r="I35" s="267">
        <f t="shared" si="2"/>
        <v>3000</v>
      </c>
      <c r="J35" s="267"/>
      <c r="K35" s="192">
        <f t="shared" si="3"/>
        <v>3000</v>
      </c>
    </row>
    <row r="36" spans="1:12" ht="63.75" customHeight="1">
      <c r="A36" s="123">
        <v>5</v>
      </c>
      <c r="B36" s="264" t="s">
        <v>777</v>
      </c>
      <c r="C36" s="265"/>
      <c r="D36" s="266">
        <v>500</v>
      </c>
      <c r="E36" s="266"/>
      <c r="F36" s="266"/>
      <c r="G36" s="123">
        <v>1</v>
      </c>
      <c r="H36" s="123">
        <f>6+6+5</f>
        <v>17</v>
      </c>
      <c r="I36" s="267">
        <f t="shared" si="2"/>
        <v>8500</v>
      </c>
      <c r="J36" s="267"/>
      <c r="K36" s="192">
        <f t="shared" si="3"/>
        <v>8500</v>
      </c>
    </row>
    <row r="37" spans="1:12" ht="49.5" customHeight="1">
      <c r="A37" s="123">
        <v>6</v>
      </c>
      <c r="B37" s="264" t="s">
        <v>778</v>
      </c>
      <c r="C37" s="265"/>
      <c r="D37" s="266">
        <v>500</v>
      </c>
      <c r="E37" s="266"/>
      <c r="F37" s="266"/>
      <c r="G37" s="123">
        <v>1</v>
      </c>
      <c r="H37" s="123">
        <v>7</v>
      </c>
      <c r="I37" s="267">
        <f t="shared" si="2"/>
        <v>3500</v>
      </c>
      <c r="J37" s="267"/>
      <c r="K37" s="192">
        <f t="shared" si="3"/>
        <v>3500</v>
      </c>
    </row>
    <row r="38" spans="1:12" ht="45" customHeight="1">
      <c r="A38" s="123">
        <v>7</v>
      </c>
      <c r="B38" s="264" t="s">
        <v>0</v>
      </c>
      <c r="C38" s="265"/>
      <c r="D38" s="266">
        <v>500</v>
      </c>
      <c r="E38" s="266"/>
      <c r="F38" s="266"/>
      <c r="G38" s="123">
        <v>1</v>
      </c>
      <c r="H38" s="123">
        <v>5</v>
      </c>
      <c r="I38" s="267">
        <f t="shared" si="2"/>
        <v>2500</v>
      </c>
      <c r="J38" s="267"/>
      <c r="K38" s="192">
        <f t="shared" si="3"/>
        <v>2500</v>
      </c>
    </row>
    <row r="39" spans="1:12" ht="47.25" customHeight="1">
      <c r="A39" s="123">
        <v>8</v>
      </c>
      <c r="B39" s="264" t="s">
        <v>1</v>
      </c>
      <c r="C39" s="265"/>
      <c r="D39" s="266">
        <v>500</v>
      </c>
      <c r="E39" s="266"/>
      <c r="F39" s="266"/>
      <c r="G39" s="123">
        <v>1</v>
      </c>
      <c r="H39" s="123">
        <v>7</v>
      </c>
      <c r="I39" s="267">
        <f t="shared" si="2"/>
        <v>3500</v>
      </c>
      <c r="J39" s="267"/>
      <c r="K39" s="192">
        <f t="shared" si="3"/>
        <v>3500</v>
      </c>
    </row>
    <row r="40" spans="1:12" ht="46.5" customHeight="1">
      <c r="A40" s="123">
        <v>9</v>
      </c>
      <c r="B40" s="264" t="s">
        <v>2</v>
      </c>
      <c r="C40" s="265"/>
      <c r="D40" s="266">
        <v>500</v>
      </c>
      <c r="E40" s="266"/>
      <c r="F40" s="266"/>
      <c r="G40" s="123">
        <v>1</v>
      </c>
      <c r="H40" s="123">
        <v>4</v>
      </c>
      <c r="I40" s="267">
        <f t="shared" si="2"/>
        <v>2000</v>
      </c>
      <c r="J40" s="267"/>
      <c r="K40" s="192">
        <f t="shared" si="3"/>
        <v>2000</v>
      </c>
    </row>
    <row r="41" spans="1:12" ht="60" customHeight="1">
      <c r="A41" s="123">
        <v>10</v>
      </c>
      <c r="B41" s="264" t="s">
        <v>3</v>
      </c>
      <c r="C41" s="265"/>
      <c r="D41" s="266">
        <v>500</v>
      </c>
      <c r="E41" s="266"/>
      <c r="F41" s="266"/>
      <c r="G41" s="123">
        <v>2</v>
      </c>
      <c r="H41" s="123">
        <v>7</v>
      </c>
      <c r="I41" s="267">
        <f t="shared" si="2"/>
        <v>7000</v>
      </c>
      <c r="J41" s="267"/>
      <c r="K41" s="192">
        <f t="shared" si="3"/>
        <v>7000</v>
      </c>
    </row>
    <row r="42" spans="1:12" ht="75.75" customHeight="1">
      <c r="A42" s="123">
        <v>11</v>
      </c>
      <c r="B42" s="264" t="s">
        <v>4</v>
      </c>
      <c r="C42" s="265"/>
      <c r="D42" s="266">
        <v>500</v>
      </c>
      <c r="E42" s="266"/>
      <c r="F42" s="266"/>
      <c r="G42" s="123">
        <v>2</v>
      </c>
      <c r="H42" s="123">
        <v>6</v>
      </c>
      <c r="I42" s="267">
        <f t="shared" si="2"/>
        <v>6000</v>
      </c>
      <c r="J42" s="267"/>
      <c r="K42" s="192">
        <f t="shared" si="3"/>
        <v>6000</v>
      </c>
    </row>
    <row r="43" spans="1:12" ht="61.5" customHeight="1">
      <c r="A43" s="123">
        <v>12</v>
      </c>
      <c r="B43" s="264" t="s">
        <v>5</v>
      </c>
      <c r="C43" s="265"/>
      <c r="D43" s="266">
        <v>500</v>
      </c>
      <c r="E43" s="266"/>
      <c r="F43" s="266"/>
      <c r="G43" s="123">
        <v>2</v>
      </c>
      <c r="H43" s="123">
        <v>7</v>
      </c>
      <c r="I43" s="267">
        <f t="shared" si="2"/>
        <v>7000</v>
      </c>
      <c r="J43" s="267"/>
      <c r="K43" s="192">
        <f t="shared" si="3"/>
        <v>7000</v>
      </c>
    </row>
    <row r="44" spans="1:12" ht="45.75" customHeight="1">
      <c r="A44" s="123">
        <v>13</v>
      </c>
      <c r="B44" s="264" t="s">
        <v>6</v>
      </c>
      <c r="C44" s="265"/>
      <c r="D44" s="266">
        <v>500</v>
      </c>
      <c r="E44" s="266"/>
      <c r="F44" s="266"/>
      <c r="G44" s="123">
        <v>1</v>
      </c>
      <c r="H44" s="123">
        <v>7</v>
      </c>
      <c r="I44" s="267">
        <f t="shared" si="2"/>
        <v>3500</v>
      </c>
      <c r="J44" s="267"/>
      <c r="K44" s="192">
        <f t="shared" si="3"/>
        <v>3500</v>
      </c>
    </row>
    <row r="45" spans="1:12" ht="28.5" customHeight="1">
      <c r="A45" s="123">
        <v>14</v>
      </c>
      <c r="B45" s="264" t="s">
        <v>7</v>
      </c>
      <c r="C45" s="265"/>
      <c r="D45" s="266">
        <v>500</v>
      </c>
      <c r="E45" s="266"/>
      <c r="F45" s="266"/>
      <c r="G45" s="123">
        <v>1</v>
      </c>
      <c r="H45" s="123">
        <v>11</v>
      </c>
      <c r="I45" s="267">
        <f t="shared" si="2"/>
        <v>5500</v>
      </c>
      <c r="J45" s="267"/>
      <c r="K45" s="192">
        <f t="shared" si="3"/>
        <v>5500</v>
      </c>
      <c r="L45" s="94"/>
    </row>
    <row r="46" spans="1:12" ht="15.5">
      <c r="A46" s="123"/>
      <c r="B46" s="268" t="s">
        <v>493</v>
      </c>
      <c r="C46" s="268"/>
      <c r="D46" s="268" t="s">
        <v>494</v>
      </c>
      <c r="E46" s="268"/>
      <c r="F46" s="268"/>
      <c r="G46" s="123" t="s">
        <v>494</v>
      </c>
      <c r="H46" s="123" t="s">
        <v>494</v>
      </c>
      <c r="I46" s="267">
        <f>SUM(I32:J45)</f>
        <v>67000</v>
      </c>
      <c r="J46" s="267"/>
      <c r="K46" s="193">
        <f>SUM(K32:K45)</f>
        <v>67000</v>
      </c>
    </row>
    <row r="48" spans="1:12">
      <c r="J48" s="94">
        <f>I46+I25</f>
        <v>160700</v>
      </c>
    </row>
  </sheetData>
  <mergeCells count="116">
    <mergeCell ref="B46:C46"/>
    <mergeCell ref="D46:F46"/>
    <mergeCell ref="I46:J46"/>
    <mergeCell ref="B44:C44"/>
    <mergeCell ref="D44:F44"/>
    <mergeCell ref="I44:J44"/>
    <mergeCell ref="B45:C45"/>
    <mergeCell ref="D45:F45"/>
    <mergeCell ref="I45:J45"/>
    <mergeCell ref="B42:C42"/>
    <mergeCell ref="D42:F42"/>
    <mergeCell ref="I42:J42"/>
    <mergeCell ref="B43:C43"/>
    <mergeCell ref="D43:F43"/>
    <mergeCell ref="I43:J43"/>
    <mergeCell ref="B40:C40"/>
    <mergeCell ref="D40:F40"/>
    <mergeCell ref="I40:J40"/>
    <mergeCell ref="B41:C41"/>
    <mergeCell ref="D41:F41"/>
    <mergeCell ref="I41:J41"/>
    <mergeCell ref="B38:C38"/>
    <mergeCell ref="D38:F38"/>
    <mergeCell ref="I38:J38"/>
    <mergeCell ref="B39:C39"/>
    <mergeCell ref="D39:F39"/>
    <mergeCell ref="I39:J39"/>
    <mergeCell ref="B36:C36"/>
    <mergeCell ref="D36:F36"/>
    <mergeCell ref="I36:J36"/>
    <mergeCell ref="B37:C37"/>
    <mergeCell ref="D37:F37"/>
    <mergeCell ref="I37:J37"/>
    <mergeCell ref="B34:C34"/>
    <mergeCell ref="D34:F34"/>
    <mergeCell ref="I34:J34"/>
    <mergeCell ref="B35:C35"/>
    <mergeCell ref="D35:F35"/>
    <mergeCell ref="I35:J35"/>
    <mergeCell ref="D31:F31"/>
    <mergeCell ref="B32:C32"/>
    <mergeCell ref="D32:F32"/>
    <mergeCell ref="B33:C33"/>
    <mergeCell ref="D33:F33"/>
    <mergeCell ref="I33:J33"/>
    <mergeCell ref="I32:J32"/>
    <mergeCell ref="I31:K31"/>
    <mergeCell ref="B25:C25"/>
    <mergeCell ref="D25:F25"/>
    <mergeCell ref="I25:J25"/>
    <mergeCell ref="A28:J28"/>
    <mergeCell ref="B30:C30"/>
    <mergeCell ref="D30:F30"/>
    <mergeCell ref="I30:J30"/>
    <mergeCell ref="B31:C31"/>
    <mergeCell ref="B23:C23"/>
    <mergeCell ref="D23:F23"/>
    <mergeCell ref="I23:J23"/>
    <mergeCell ref="B24:C24"/>
    <mergeCell ref="D24:F24"/>
    <mergeCell ref="I24:J24"/>
    <mergeCell ref="B21:C21"/>
    <mergeCell ref="D21:F21"/>
    <mergeCell ref="I21:J21"/>
    <mergeCell ref="B22:C22"/>
    <mergeCell ref="D22:F22"/>
    <mergeCell ref="I22:J22"/>
    <mergeCell ref="B19:C19"/>
    <mergeCell ref="D19:F19"/>
    <mergeCell ref="I19:J19"/>
    <mergeCell ref="B20:C20"/>
    <mergeCell ref="D20:F20"/>
    <mergeCell ref="I20:J20"/>
    <mergeCell ref="B18:C18"/>
    <mergeCell ref="D18:F18"/>
    <mergeCell ref="I18:J18"/>
    <mergeCell ref="B15:C15"/>
    <mergeCell ref="D15:F15"/>
    <mergeCell ref="I15:J15"/>
    <mergeCell ref="B16:C16"/>
    <mergeCell ref="D16:F16"/>
    <mergeCell ref="I16:J16"/>
    <mergeCell ref="B17:C17"/>
    <mergeCell ref="D14:F14"/>
    <mergeCell ref="I14:J14"/>
    <mergeCell ref="B11:C11"/>
    <mergeCell ref="D11:F11"/>
    <mergeCell ref="I11:J11"/>
    <mergeCell ref="B12:C12"/>
    <mergeCell ref="D12:F12"/>
    <mergeCell ref="I12:J12"/>
    <mergeCell ref="A1:J1"/>
    <mergeCell ref="A2:J2"/>
    <mergeCell ref="A3:J3"/>
    <mergeCell ref="A4:J4"/>
    <mergeCell ref="D17:F17"/>
    <mergeCell ref="I17:J17"/>
    <mergeCell ref="B13:C13"/>
    <mergeCell ref="D13:F13"/>
    <mergeCell ref="I13:J13"/>
    <mergeCell ref="B14:C14"/>
    <mergeCell ref="B6:C6"/>
    <mergeCell ref="D6:F6"/>
    <mergeCell ref="I6:J6"/>
    <mergeCell ref="B9:C9"/>
    <mergeCell ref="D9:F9"/>
    <mergeCell ref="I9:J9"/>
    <mergeCell ref="B10:C10"/>
    <mergeCell ref="D10:F10"/>
    <mergeCell ref="I10:J10"/>
    <mergeCell ref="B7:C7"/>
    <mergeCell ref="D7:F7"/>
    <mergeCell ref="I7:J7"/>
    <mergeCell ref="B8:C8"/>
    <mergeCell ref="D8:F8"/>
    <mergeCell ref="I8:J8"/>
  </mergeCells>
  <phoneticPr fontId="0" type="noConversion"/>
  <pageMargins left="1.0629921259842521" right="0.47244094488188981" top="7.874015748031496E-2" bottom="0.47244094488188981" header="0.19685039370078741" footer="0.19685039370078741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CFF"/>
  </sheetPr>
  <dimension ref="A1:I48"/>
  <sheetViews>
    <sheetView topLeftCell="A30" zoomScaleNormal="100" workbookViewId="0">
      <selection activeCell="B27" sqref="B27:D27"/>
    </sheetView>
  </sheetViews>
  <sheetFormatPr defaultColWidth="9.1796875" defaultRowHeight="14.5"/>
  <cols>
    <col min="1" max="1" width="4.7265625" style="70" customWidth="1"/>
    <col min="2" max="3" width="17.7265625" style="70" customWidth="1"/>
    <col min="4" max="4" width="16" style="70" customWidth="1"/>
    <col min="5" max="5" width="16.54296875" style="70" customWidth="1"/>
    <col min="6" max="6" width="17.7265625" style="70" customWidth="1"/>
    <col min="7" max="7" width="18.1796875" style="70" customWidth="1"/>
    <col min="8" max="8" width="14.7265625" style="70" bestFit="1" customWidth="1"/>
    <col min="9" max="16384" width="9.1796875" style="70"/>
  </cols>
  <sheetData>
    <row r="1" spans="1:7" ht="15" hidden="1" customHeight="1">
      <c r="A1" s="273" t="s">
        <v>520</v>
      </c>
      <c r="B1" s="273"/>
      <c r="C1" s="273"/>
      <c r="D1" s="273"/>
      <c r="E1" s="273"/>
      <c r="F1" s="273"/>
    </row>
    <row r="2" spans="1:7" ht="15" hidden="1" customHeight="1">
      <c r="A2" s="273" t="s">
        <v>521</v>
      </c>
      <c r="B2" s="273"/>
      <c r="C2" s="273"/>
      <c r="D2" s="273"/>
      <c r="E2" s="273"/>
      <c r="F2" s="273"/>
    </row>
    <row r="3" spans="1:7" ht="7.5" hidden="1" customHeight="1">
      <c r="A3" s="92"/>
      <c r="B3" s="92"/>
      <c r="C3" s="92"/>
      <c r="D3" s="92"/>
      <c r="E3" s="92"/>
      <c r="F3" s="92"/>
    </row>
    <row r="4" spans="1:7" ht="56" hidden="1">
      <c r="A4" s="142" t="s">
        <v>485</v>
      </c>
      <c r="B4" s="142" t="s">
        <v>497</v>
      </c>
      <c r="C4" s="142" t="s">
        <v>517</v>
      </c>
      <c r="D4" s="142" t="s">
        <v>518</v>
      </c>
      <c r="E4" s="142" t="s">
        <v>519</v>
      </c>
      <c r="F4" s="142" t="s">
        <v>501</v>
      </c>
    </row>
    <row r="5" spans="1:7" ht="15" hidden="1" customHeight="1">
      <c r="A5" s="142">
        <v>1</v>
      </c>
      <c r="B5" s="142">
        <v>2</v>
      </c>
      <c r="C5" s="142">
        <v>3</v>
      </c>
      <c r="D5" s="142">
        <v>4</v>
      </c>
      <c r="E5" s="142">
        <v>5</v>
      </c>
      <c r="F5" s="142">
        <v>6</v>
      </c>
    </row>
    <row r="6" spans="1:7" hidden="1">
      <c r="A6" s="142"/>
      <c r="B6" s="142"/>
      <c r="C6" s="142"/>
      <c r="D6" s="142"/>
      <c r="E6" s="142"/>
      <c r="F6" s="142"/>
    </row>
    <row r="7" spans="1:7" hidden="1">
      <c r="A7" s="142"/>
      <c r="B7" s="142"/>
      <c r="C7" s="142"/>
      <c r="D7" s="142"/>
      <c r="E7" s="142"/>
      <c r="F7" s="142"/>
    </row>
    <row r="8" spans="1:7" hidden="1">
      <c r="A8" s="142"/>
      <c r="B8" s="142" t="s">
        <v>493</v>
      </c>
      <c r="C8" s="142" t="s">
        <v>494</v>
      </c>
      <c r="D8" s="142" t="s">
        <v>494</v>
      </c>
      <c r="E8" s="142" t="s">
        <v>494</v>
      </c>
      <c r="F8" s="142"/>
    </row>
    <row r="9" spans="1:7" ht="8.25" hidden="1" customHeight="1">
      <c r="A9" s="92"/>
      <c r="B9" s="92"/>
      <c r="C9" s="92"/>
      <c r="D9" s="92"/>
      <c r="E9" s="92"/>
      <c r="F9" s="92"/>
    </row>
    <row r="10" spans="1:7" ht="27.75" customHeight="1">
      <c r="A10" s="278" t="s">
        <v>136</v>
      </c>
      <c r="B10" s="279"/>
      <c r="C10" s="279"/>
      <c r="D10" s="279"/>
      <c r="E10" s="279"/>
      <c r="F10" s="279"/>
    </row>
    <row r="11" spans="1:7" ht="15" customHeight="1">
      <c r="A11" s="273" t="s">
        <v>522</v>
      </c>
      <c r="B11" s="273"/>
      <c r="C11" s="273"/>
      <c r="D11" s="273"/>
      <c r="E11" s="273"/>
      <c r="F11" s="273"/>
    </row>
    <row r="12" spans="1:7" ht="15.5">
      <c r="A12" s="273" t="s">
        <v>523</v>
      </c>
      <c r="B12" s="273"/>
      <c r="C12" s="273"/>
      <c r="D12" s="273"/>
      <c r="E12" s="273"/>
      <c r="F12" s="273"/>
    </row>
    <row r="13" spans="1:7" ht="15.5">
      <c r="A13" s="273" t="s">
        <v>524</v>
      </c>
      <c r="B13" s="273"/>
      <c r="C13" s="273"/>
      <c r="D13" s="273"/>
      <c r="E13" s="273"/>
      <c r="F13" s="273"/>
    </row>
    <row r="14" spans="1:7" ht="15.5">
      <c r="A14" s="273" t="s">
        <v>525</v>
      </c>
      <c r="B14" s="273"/>
      <c r="C14" s="273"/>
      <c r="D14" s="273"/>
      <c r="E14" s="273"/>
      <c r="F14" s="273"/>
    </row>
    <row r="15" spans="1:7" ht="15.5">
      <c r="A15" s="277" t="s">
        <v>750</v>
      </c>
      <c r="B15" s="277"/>
      <c r="C15" s="277"/>
      <c r="D15" s="277"/>
      <c r="E15" s="277"/>
      <c r="F15" s="277"/>
    </row>
    <row r="16" spans="1:7" ht="60" customHeight="1">
      <c r="A16" s="142" t="s">
        <v>485</v>
      </c>
      <c r="B16" s="261" t="s">
        <v>526</v>
      </c>
      <c r="C16" s="261"/>
      <c r="D16" s="261"/>
      <c r="E16" s="142" t="s">
        <v>527</v>
      </c>
      <c r="F16" s="142" t="s">
        <v>178</v>
      </c>
      <c r="G16" s="142" t="s">
        <v>179</v>
      </c>
    </row>
    <row r="17" spans="1:9">
      <c r="A17" s="142">
        <v>1</v>
      </c>
      <c r="B17" s="261">
        <v>2</v>
      </c>
      <c r="C17" s="261"/>
      <c r="D17" s="261"/>
      <c r="E17" s="142">
        <v>3</v>
      </c>
      <c r="F17" s="261">
        <v>4</v>
      </c>
      <c r="G17" s="261"/>
    </row>
    <row r="18" spans="1:9" ht="27" customHeight="1">
      <c r="A18" s="142">
        <v>1</v>
      </c>
      <c r="B18" s="274" t="s">
        <v>529</v>
      </c>
      <c r="C18" s="275"/>
      <c r="D18" s="276"/>
      <c r="E18" s="142" t="s">
        <v>494</v>
      </c>
      <c r="F18" s="148">
        <f>F19+F21+F22</f>
        <v>5206420</v>
      </c>
      <c r="G18" s="148">
        <f>F18</f>
        <v>5206420</v>
      </c>
    </row>
    <row r="19" spans="1:9" s="93" customFormat="1" ht="12" customHeight="1">
      <c r="A19" s="280" t="s">
        <v>530</v>
      </c>
      <c r="B19" s="282" t="s">
        <v>545</v>
      </c>
      <c r="C19" s="283"/>
      <c r="D19" s="284"/>
      <c r="E19" s="288">
        <v>23665300</v>
      </c>
      <c r="F19" s="288">
        <f>CEILING(E19*22%,10)+50</f>
        <v>5206420</v>
      </c>
      <c r="G19" s="288">
        <f t="shared" ref="G19:G30" si="0">F19</f>
        <v>5206420</v>
      </c>
    </row>
    <row r="20" spans="1:9" s="93" customFormat="1" ht="15" customHeight="1">
      <c r="A20" s="281"/>
      <c r="B20" s="285"/>
      <c r="C20" s="286"/>
      <c r="D20" s="287"/>
      <c r="E20" s="289"/>
      <c r="F20" s="289"/>
      <c r="G20" s="289"/>
    </row>
    <row r="21" spans="1:9" ht="15" customHeight="1">
      <c r="A21" s="142" t="s">
        <v>531</v>
      </c>
      <c r="B21" s="290" t="s">
        <v>532</v>
      </c>
      <c r="C21" s="290"/>
      <c r="D21" s="290"/>
      <c r="E21" s="142"/>
      <c r="F21" s="142">
        <f>ROUND(E21*10%,2)</f>
        <v>0</v>
      </c>
      <c r="G21" s="148">
        <f t="shared" si="0"/>
        <v>0</v>
      </c>
    </row>
    <row r="22" spans="1:9" ht="43.5" customHeight="1">
      <c r="A22" s="142" t="s">
        <v>533</v>
      </c>
      <c r="B22" s="290" t="s">
        <v>534</v>
      </c>
      <c r="C22" s="290"/>
      <c r="D22" s="290"/>
      <c r="E22" s="142"/>
      <c r="F22" s="142"/>
      <c r="G22" s="148"/>
    </row>
    <row r="23" spans="1:9" ht="30.75" customHeight="1">
      <c r="A23" s="142">
        <v>2</v>
      </c>
      <c r="B23" s="274" t="s">
        <v>535</v>
      </c>
      <c r="C23" s="275"/>
      <c r="D23" s="276"/>
      <c r="E23" s="142" t="s">
        <v>494</v>
      </c>
      <c r="F23" s="148">
        <f>F24+F26+F27+F28+F29</f>
        <v>733640</v>
      </c>
      <c r="G23" s="148">
        <f t="shared" si="0"/>
        <v>733640</v>
      </c>
    </row>
    <row r="24" spans="1:9" ht="12.75" customHeight="1">
      <c r="A24" s="261" t="s">
        <v>536</v>
      </c>
      <c r="B24" s="291" t="s">
        <v>546</v>
      </c>
      <c r="C24" s="292"/>
      <c r="D24" s="293"/>
      <c r="E24" s="288">
        <f>E19</f>
        <v>23665300</v>
      </c>
      <c r="F24" s="288">
        <f>CEILING(E24*2.9%,10)</f>
        <v>686300</v>
      </c>
      <c r="G24" s="288">
        <f t="shared" si="0"/>
        <v>686300</v>
      </c>
    </row>
    <row r="25" spans="1:9" ht="40.5" customHeight="1">
      <c r="A25" s="261"/>
      <c r="B25" s="294"/>
      <c r="C25" s="295"/>
      <c r="D25" s="296"/>
      <c r="E25" s="281"/>
      <c r="F25" s="289"/>
      <c r="G25" s="289"/>
    </row>
    <row r="26" spans="1:9" ht="35.15" customHeight="1">
      <c r="A26" s="142" t="s">
        <v>537</v>
      </c>
      <c r="B26" s="290" t="s">
        <v>538</v>
      </c>
      <c r="C26" s="290"/>
      <c r="D26" s="290"/>
      <c r="E26" s="142"/>
      <c r="F26" s="148">
        <f>ROUND(E26*0%,2)</f>
        <v>0</v>
      </c>
      <c r="G26" s="148">
        <f t="shared" si="0"/>
        <v>0</v>
      </c>
    </row>
    <row r="27" spans="1:9" ht="42" customHeight="1">
      <c r="A27" s="142" t="s">
        <v>539</v>
      </c>
      <c r="B27" s="290" t="s">
        <v>540</v>
      </c>
      <c r="C27" s="290"/>
      <c r="D27" s="290"/>
      <c r="E27" s="148">
        <f>E24</f>
        <v>23665300</v>
      </c>
      <c r="F27" s="148">
        <f>CEILING(E27*0.2%,10)</f>
        <v>47340</v>
      </c>
      <c r="G27" s="148">
        <f t="shared" si="0"/>
        <v>47340</v>
      </c>
    </row>
    <row r="28" spans="1:9" ht="42.75" customHeight="1">
      <c r="A28" s="142" t="s">
        <v>541</v>
      </c>
      <c r="B28" s="290" t="s">
        <v>542</v>
      </c>
      <c r="C28" s="290"/>
      <c r="D28" s="290"/>
      <c r="E28" s="142"/>
      <c r="F28" s="148"/>
      <c r="G28" s="148">
        <f t="shared" si="0"/>
        <v>0</v>
      </c>
    </row>
    <row r="29" spans="1:9" ht="41.25" customHeight="1">
      <c r="A29" s="142" t="s">
        <v>543</v>
      </c>
      <c r="B29" s="290" t="s">
        <v>542</v>
      </c>
      <c r="C29" s="290"/>
      <c r="D29" s="290"/>
      <c r="E29" s="142"/>
      <c r="F29" s="148"/>
      <c r="G29" s="148">
        <f t="shared" si="0"/>
        <v>0</v>
      </c>
    </row>
    <row r="30" spans="1:9" ht="27.75" customHeight="1">
      <c r="A30" s="142">
        <v>3</v>
      </c>
      <c r="B30" s="290" t="s">
        <v>544</v>
      </c>
      <c r="C30" s="290"/>
      <c r="D30" s="290"/>
      <c r="E30" s="148">
        <f>E27</f>
        <v>23665300</v>
      </c>
      <c r="F30" s="148">
        <f>CEILING(E30*5.1%,10)</f>
        <v>1206940</v>
      </c>
      <c r="G30" s="148">
        <f t="shared" si="0"/>
        <v>1206940</v>
      </c>
    </row>
    <row r="31" spans="1:9" ht="15" customHeight="1">
      <c r="A31" s="142"/>
      <c r="B31" s="290" t="s">
        <v>493</v>
      </c>
      <c r="C31" s="290"/>
      <c r="D31" s="290"/>
      <c r="E31" s="142" t="s">
        <v>494</v>
      </c>
      <c r="F31" s="148">
        <f>F23+F18+F30</f>
        <v>7147000</v>
      </c>
      <c r="G31" s="148">
        <f>G23+G18+G30</f>
        <v>7147000</v>
      </c>
      <c r="H31" s="94">
        <f>F31-I31</f>
        <v>0</v>
      </c>
      <c r="I31" s="124">
        <f ca="1">'р.3 2018'!D67</f>
        <v>7147000</v>
      </c>
    </row>
    <row r="32" spans="1:9" ht="6.75" customHeight="1">
      <c r="A32" s="92"/>
      <c r="B32" s="92"/>
      <c r="C32" s="92"/>
      <c r="D32" s="92"/>
      <c r="E32" s="92"/>
      <c r="F32" s="92"/>
    </row>
    <row r="33" spans="1:8" ht="10.5" customHeight="1">
      <c r="A33" s="92" t="s">
        <v>547</v>
      </c>
      <c r="B33" s="92"/>
      <c r="C33" s="92"/>
      <c r="D33" s="92"/>
      <c r="E33" s="92"/>
      <c r="F33" s="92"/>
    </row>
    <row r="34" spans="1:8" ht="15" customHeight="1">
      <c r="A34" s="92" t="s">
        <v>548</v>
      </c>
      <c r="B34" s="92"/>
      <c r="C34" s="92"/>
      <c r="D34" s="92"/>
      <c r="E34" s="92"/>
      <c r="F34" s="92"/>
    </row>
    <row r="35" spans="1:8" ht="15" customHeight="1">
      <c r="A35" s="92" t="s">
        <v>549</v>
      </c>
      <c r="B35" s="92"/>
      <c r="C35" s="92"/>
      <c r="D35" s="92"/>
      <c r="E35" s="92"/>
      <c r="F35" s="92"/>
    </row>
    <row r="36" spans="1:8" ht="15" customHeight="1">
      <c r="A36" s="92" t="s">
        <v>550</v>
      </c>
      <c r="B36" s="92"/>
      <c r="C36" s="92"/>
      <c r="D36" s="92"/>
      <c r="E36" s="92"/>
      <c r="F36" s="92"/>
    </row>
    <row r="37" spans="1:8" ht="15" customHeight="1">
      <c r="A37" s="92" t="s">
        <v>551</v>
      </c>
      <c r="B37" s="92"/>
      <c r="C37" s="92"/>
      <c r="D37" s="92"/>
      <c r="E37" s="92"/>
      <c r="F37" s="92"/>
    </row>
    <row r="38" spans="1:8" ht="15" customHeight="1">
      <c r="A38" s="92" t="s">
        <v>552</v>
      </c>
      <c r="B38" s="92"/>
      <c r="C38" s="92"/>
      <c r="D38" s="92"/>
      <c r="E38" s="92"/>
      <c r="F38" s="92"/>
    </row>
    <row r="39" spans="1:8" ht="15" customHeight="1">
      <c r="A39" s="92" t="s">
        <v>553</v>
      </c>
      <c r="B39" s="92"/>
      <c r="C39" s="92"/>
      <c r="D39" s="92"/>
      <c r="E39" s="92"/>
      <c r="F39" s="92"/>
    </row>
    <row r="40" spans="1:8" ht="54.75" customHeight="1"/>
    <row r="41" spans="1:8" ht="15.5">
      <c r="A41" s="301" t="s">
        <v>134</v>
      </c>
      <c r="B41" s="301"/>
      <c r="C41" s="301"/>
      <c r="D41" s="301"/>
      <c r="E41" s="301"/>
    </row>
    <row r="42" spans="1:8" ht="15">
      <c r="A42" s="300" t="s">
        <v>22</v>
      </c>
      <c r="B42" s="300"/>
      <c r="C42" s="300"/>
      <c r="D42" s="300"/>
      <c r="E42" s="300"/>
    </row>
    <row r="43" spans="1:8" ht="15.75" customHeight="1">
      <c r="A43" s="103" t="s">
        <v>11</v>
      </c>
      <c r="B43" s="352" t="s">
        <v>180</v>
      </c>
      <c r="C43" s="297" t="s">
        <v>42</v>
      </c>
      <c r="D43" s="115"/>
      <c r="E43" s="115"/>
    </row>
    <row r="44" spans="1:8" ht="15.5">
      <c r="A44" s="105" t="s">
        <v>13</v>
      </c>
      <c r="B44" s="353"/>
      <c r="C44" s="298"/>
      <c r="D44" s="118" t="s">
        <v>650</v>
      </c>
      <c r="E44" s="118" t="s">
        <v>650</v>
      </c>
    </row>
    <row r="45" spans="1:8" ht="15.5">
      <c r="A45" s="106" t="s">
        <v>15</v>
      </c>
      <c r="B45" s="354"/>
      <c r="C45" s="299"/>
      <c r="D45" s="116" t="s">
        <v>182</v>
      </c>
      <c r="E45" s="116" t="s">
        <v>181</v>
      </c>
    </row>
    <row r="46" spans="1:8" ht="15.5">
      <c r="A46" s="108">
        <v>1</v>
      </c>
      <c r="B46" s="109">
        <v>2</v>
      </c>
      <c r="C46" s="108">
        <v>3</v>
      </c>
      <c r="D46" s="351">
        <v>5</v>
      </c>
      <c r="E46" s="351"/>
    </row>
    <row r="47" spans="1:8" ht="15.5">
      <c r="A47" s="106">
        <v>1</v>
      </c>
      <c r="B47" s="195">
        <v>13</v>
      </c>
      <c r="C47" s="111">
        <v>5</v>
      </c>
      <c r="D47" s="119">
        <v>562400</v>
      </c>
      <c r="E47" s="119">
        <v>562400</v>
      </c>
    </row>
    <row r="48" spans="1:8" ht="15.5">
      <c r="A48" s="107"/>
      <c r="B48" s="113" t="s">
        <v>21</v>
      </c>
      <c r="C48" s="107"/>
      <c r="D48" s="194">
        <f>SUM(D47:D47)</f>
        <v>562400</v>
      </c>
      <c r="E48" s="194">
        <f>SUM(E47:E47)</f>
        <v>562400</v>
      </c>
      <c r="H48" s="70">
        <f ca="1">'р.3 2018'!L58</f>
        <v>562400</v>
      </c>
    </row>
  </sheetData>
  <mergeCells count="36">
    <mergeCell ref="B30:D30"/>
    <mergeCell ref="B24:D25"/>
    <mergeCell ref="B26:D26"/>
    <mergeCell ref="B27:D27"/>
    <mergeCell ref="B28:D28"/>
    <mergeCell ref="B29:D29"/>
    <mergeCell ref="B21:D21"/>
    <mergeCell ref="B22:D22"/>
    <mergeCell ref="B23:D23"/>
    <mergeCell ref="F19:F20"/>
    <mergeCell ref="A15:F15"/>
    <mergeCell ref="F17:G17"/>
    <mergeCell ref="G19:G20"/>
    <mergeCell ref="B16:D16"/>
    <mergeCell ref="B17:D17"/>
    <mergeCell ref="B18:D18"/>
    <mergeCell ref="B19:D20"/>
    <mergeCell ref="A1:F1"/>
    <mergeCell ref="A2:F2"/>
    <mergeCell ref="A11:F11"/>
    <mergeCell ref="A12:F12"/>
    <mergeCell ref="A13:F13"/>
    <mergeCell ref="A10:F10"/>
    <mergeCell ref="A14:F14"/>
    <mergeCell ref="A19:A20"/>
    <mergeCell ref="E19:E20"/>
    <mergeCell ref="D46:E46"/>
    <mergeCell ref="G24:G25"/>
    <mergeCell ref="A41:E41"/>
    <mergeCell ref="A42:E42"/>
    <mergeCell ref="C43:C45"/>
    <mergeCell ref="B43:B45"/>
    <mergeCell ref="A24:A25"/>
    <mergeCell ref="E24:E25"/>
    <mergeCell ref="F24:F25"/>
    <mergeCell ref="B31:D31"/>
  </mergeCells>
  <phoneticPr fontId="0" type="noConversion"/>
  <hyperlinks>
    <hyperlink ref="B28" location="P1250" display="P1250"/>
    <hyperlink ref="B29" location="P1250" display="P1250"/>
    <hyperlink ref="A35" r:id="rId1" display="consultantplus://offline/ref=160D23074E6765C55EF84811A89119E895463C6394CC40BB38A7EE3CC53AJ"/>
  </hyperlinks>
  <pageMargins left="1.0629921259842521" right="0.47244094488188981" top="0.39370078740157483" bottom="0.39370078740157483" header="0.19685039370078741" footer="0.19685039370078741"/>
  <pageSetup paperSize="9" scale="75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CFF"/>
  </sheetPr>
  <dimension ref="A1:L42"/>
  <sheetViews>
    <sheetView zoomScale="98" zoomScaleNormal="98" workbookViewId="0">
      <selection activeCell="D27" sqref="D27:F27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10" width="19" style="70" customWidth="1"/>
    <col min="11" max="16384" width="9.1796875" style="70"/>
  </cols>
  <sheetData>
    <row r="1" spans="1:10" ht="15.5">
      <c r="A1" s="301" t="s">
        <v>134</v>
      </c>
      <c r="B1" s="301"/>
      <c r="C1" s="301"/>
      <c r="D1" s="301"/>
      <c r="E1" s="301"/>
      <c r="F1" s="301"/>
      <c r="G1" s="301"/>
      <c r="H1" s="301"/>
      <c r="I1" s="301"/>
      <c r="J1" s="301"/>
    </row>
    <row r="2" spans="1:10" ht="39.75" customHeight="1">
      <c r="A2" s="270" t="s">
        <v>64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0" ht="15.5">
      <c r="A3" s="355" t="s">
        <v>23</v>
      </c>
      <c r="B3" s="355"/>
      <c r="C3" s="355"/>
      <c r="D3" s="355"/>
      <c r="E3" s="355"/>
      <c r="F3" s="355"/>
      <c r="G3" s="355"/>
      <c r="H3" s="355"/>
      <c r="I3" s="355"/>
      <c r="J3" s="355"/>
    </row>
    <row r="4" spans="1:10" ht="77.25" customHeight="1">
      <c r="A4" s="123" t="s">
        <v>485</v>
      </c>
      <c r="B4" s="268" t="s">
        <v>497</v>
      </c>
      <c r="C4" s="268"/>
      <c r="D4" s="268" t="s">
        <v>498</v>
      </c>
      <c r="E4" s="268"/>
      <c r="F4" s="268"/>
      <c r="G4" s="123" t="s">
        <v>25</v>
      </c>
      <c r="H4" s="123" t="s">
        <v>754</v>
      </c>
      <c r="I4" s="123" t="s">
        <v>176</v>
      </c>
      <c r="J4" s="123" t="s">
        <v>177</v>
      </c>
    </row>
    <row r="5" spans="1:10" ht="15.5">
      <c r="A5" s="123">
        <v>1</v>
      </c>
      <c r="B5" s="268">
        <v>2</v>
      </c>
      <c r="C5" s="268"/>
      <c r="D5" s="268">
        <v>3</v>
      </c>
      <c r="E5" s="268"/>
      <c r="F5" s="268"/>
      <c r="G5" s="123">
        <v>4</v>
      </c>
      <c r="H5" s="123">
        <v>5</v>
      </c>
      <c r="I5" s="349">
        <v>6</v>
      </c>
      <c r="J5" s="350"/>
    </row>
    <row r="6" spans="1:10" ht="45" customHeight="1">
      <c r="A6" s="123">
        <v>2</v>
      </c>
      <c r="B6" s="269" t="s">
        <v>757</v>
      </c>
      <c r="C6" s="269"/>
      <c r="D6" s="267">
        <v>800</v>
      </c>
      <c r="E6" s="267"/>
      <c r="F6" s="267"/>
      <c r="G6" s="123">
        <v>20</v>
      </c>
      <c r="H6" s="123">
        <v>6</v>
      </c>
      <c r="I6" s="182">
        <f t="shared" ref="I6:I41" si="0">D6*G6*H6</f>
        <v>96000</v>
      </c>
      <c r="J6" s="182">
        <f>I6</f>
        <v>96000</v>
      </c>
    </row>
    <row r="7" spans="1:10" ht="45" customHeight="1">
      <c r="A7" s="123">
        <v>3</v>
      </c>
      <c r="B7" s="264" t="s">
        <v>24</v>
      </c>
      <c r="C7" s="265"/>
      <c r="D7" s="302">
        <v>200</v>
      </c>
      <c r="E7" s="303"/>
      <c r="F7" s="304"/>
      <c r="G7" s="123">
        <v>20</v>
      </c>
      <c r="H7" s="123">
        <v>8</v>
      </c>
      <c r="I7" s="182">
        <f t="shared" si="0"/>
        <v>32000</v>
      </c>
      <c r="J7" s="182">
        <f t="shared" ref="J7:J41" si="1">I7</f>
        <v>32000</v>
      </c>
    </row>
    <row r="8" spans="1:10" ht="46.5" customHeight="1">
      <c r="A8" s="123">
        <v>4</v>
      </c>
      <c r="B8" s="264" t="s">
        <v>755</v>
      </c>
      <c r="C8" s="265"/>
      <c r="D8" s="267">
        <f>1000*2</f>
        <v>2000</v>
      </c>
      <c r="E8" s="267"/>
      <c r="F8" s="267"/>
      <c r="G8" s="123">
        <v>8</v>
      </c>
      <c r="H8" s="99">
        <v>1</v>
      </c>
      <c r="I8" s="182">
        <f t="shared" si="0"/>
        <v>16000</v>
      </c>
      <c r="J8" s="182">
        <f t="shared" si="1"/>
        <v>16000</v>
      </c>
    </row>
    <row r="9" spans="1:10" ht="50.25" customHeight="1">
      <c r="A9" s="123">
        <v>5</v>
      </c>
      <c r="B9" s="269" t="s">
        <v>26</v>
      </c>
      <c r="C9" s="269"/>
      <c r="D9" s="267">
        <v>500</v>
      </c>
      <c r="E9" s="267"/>
      <c r="F9" s="267"/>
      <c r="G9" s="123">
        <v>8</v>
      </c>
      <c r="H9" s="123">
        <v>4</v>
      </c>
      <c r="I9" s="182">
        <f t="shared" si="0"/>
        <v>16000</v>
      </c>
      <c r="J9" s="182">
        <f t="shared" si="1"/>
        <v>16000</v>
      </c>
    </row>
    <row r="10" spans="1:10" ht="63" customHeight="1">
      <c r="A10" s="123">
        <v>6</v>
      </c>
      <c r="B10" s="264" t="s">
        <v>27</v>
      </c>
      <c r="C10" s="265"/>
      <c r="D10" s="302">
        <v>200</v>
      </c>
      <c r="E10" s="303"/>
      <c r="F10" s="304"/>
      <c r="G10" s="123">
        <v>8</v>
      </c>
      <c r="H10" s="123">
        <v>6</v>
      </c>
      <c r="I10" s="182">
        <f t="shared" si="0"/>
        <v>9600</v>
      </c>
      <c r="J10" s="182">
        <f t="shared" si="1"/>
        <v>9600</v>
      </c>
    </row>
    <row r="11" spans="1:10" ht="45" customHeight="1">
      <c r="A11" s="123">
        <v>7</v>
      </c>
      <c r="B11" s="264" t="s">
        <v>756</v>
      </c>
      <c r="C11" s="265"/>
      <c r="D11" s="267">
        <f>3500*2</f>
        <v>7000</v>
      </c>
      <c r="E11" s="267"/>
      <c r="F11" s="267"/>
      <c r="G11" s="123">
        <v>2</v>
      </c>
      <c r="H11" s="99">
        <v>1</v>
      </c>
      <c r="I11" s="182">
        <f t="shared" si="0"/>
        <v>14000</v>
      </c>
      <c r="J11" s="182">
        <f t="shared" si="1"/>
        <v>14000</v>
      </c>
    </row>
    <row r="12" spans="1:10" ht="48.75" customHeight="1">
      <c r="A12" s="123">
        <v>8</v>
      </c>
      <c r="B12" s="269" t="s">
        <v>759</v>
      </c>
      <c r="C12" s="269"/>
      <c r="D12" s="267">
        <v>800</v>
      </c>
      <c r="E12" s="267"/>
      <c r="F12" s="267"/>
      <c r="G12" s="123">
        <v>16</v>
      </c>
      <c r="H12" s="123">
        <v>3</v>
      </c>
      <c r="I12" s="182">
        <f t="shared" si="0"/>
        <v>38400</v>
      </c>
      <c r="J12" s="182">
        <f t="shared" si="1"/>
        <v>38400</v>
      </c>
    </row>
    <row r="13" spans="1:10" ht="51" customHeight="1">
      <c r="A13" s="123">
        <v>9</v>
      </c>
      <c r="B13" s="264" t="s">
        <v>28</v>
      </c>
      <c r="C13" s="265"/>
      <c r="D13" s="302">
        <v>200</v>
      </c>
      <c r="E13" s="303"/>
      <c r="F13" s="304"/>
      <c r="G13" s="123">
        <v>16</v>
      </c>
      <c r="H13" s="123">
        <v>4</v>
      </c>
      <c r="I13" s="182">
        <f t="shared" si="0"/>
        <v>12800</v>
      </c>
      <c r="J13" s="182">
        <f t="shared" si="1"/>
        <v>12800</v>
      </c>
    </row>
    <row r="14" spans="1:10" ht="47.25" customHeight="1">
      <c r="A14" s="123">
        <v>11</v>
      </c>
      <c r="B14" s="269" t="s">
        <v>760</v>
      </c>
      <c r="C14" s="269"/>
      <c r="D14" s="267">
        <v>800</v>
      </c>
      <c r="E14" s="267"/>
      <c r="F14" s="267"/>
      <c r="G14" s="123">
        <v>8</v>
      </c>
      <c r="H14" s="123">
        <v>4</v>
      </c>
      <c r="I14" s="182">
        <f t="shared" si="0"/>
        <v>25600</v>
      </c>
      <c r="J14" s="182">
        <f t="shared" si="1"/>
        <v>25600</v>
      </c>
    </row>
    <row r="15" spans="1:10" ht="48.75" customHeight="1">
      <c r="A15" s="123">
        <v>12</v>
      </c>
      <c r="B15" s="264" t="s">
        <v>28</v>
      </c>
      <c r="C15" s="265"/>
      <c r="D15" s="302">
        <v>200</v>
      </c>
      <c r="E15" s="303"/>
      <c r="F15" s="304"/>
      <c r="G15" s="123">
        <v>8</v>
      </c>
      <c r="H15" s="123">
        <v>6</v>
      </c>
      <c r="I15" s="182">
        <f t="shared" si="0"/>
        <v>9600</v>
      </c>
      <c r="J15" s="182">
        <f t="shared" si="1"/>
        <v>9600</v>
      </c>
    </row>
    <row r="16" spans="1:10" ht="46.5" customHeight="1">
      <c r="A16" s="123">
        <v>14</v>
      </c>
      <c r="B16" s="269" t="s">
        <v>761</v>
      </c>
      <c r="C16" s="269"/>
      <c r="D16" s="267">
        <v>800</v>
      </c>
      <c r="E16" s="267"/>
      <c r="F16" s="267"/>
      <c r="G16" s="123">
        <v>6</v>
      </c>
      <c r="H16" s="123">
        <v>4</v>
      </c>
      <c r="I16" s="182">
        <f t="shared" si="0"/>
        <v>19200</v>
      </c>
      <c r="J16" s="182">
        <f t="shared" si="1"/>
        <v>19200</v>
      </c>
    </row>
    <row r="17" spans="1:10" ht="46.5" customHeight="1">
      <c r="A17" s="123">
        <v>15</v>
      </c>
      <c r="B17" s="264" t="s">
        <v>29</v>
      </c>
      <c r="C17" s="265"/>
      <c r="D17" s="302">
        <v>200</v>
      </c>
      <c r="E17" s="303"/>
      <c r="F17" s="304"/>
      <c r="G17" s="123">
        <v>6</v>
      </c>
      <c r="H17" s="123">
        <v>6</v>
      </c>
      <c r="I17" s="182">
        <f t="shared" si="0"/>
        <v>7200</v>
      </c>
      <c r="J17" s="182">
        <f t="shared" si="1"/>
        <v>7200</v>
      </c>
    </row>
    <row r="18" spans="1:10" ht="46.5" customHeight="1">
      <c r="A18" s="123">
        <v>14</v>
      </c>
      <c r="B18" s="269" t="s">
        <v>761</v>
      </c>
      <c r="C18" s="269"/>
      <c r="D18" s="267">
        <v>800</v>
      </c>
      <c r="E18" s="267"/>
      <c r="F18" s="267"/>
      <c r="G18" s="123">
        <v>4</v>
      </c>
      <c r="H18" s="123">
        <v>4</v>
      </c>
      <c r="I18" s="182">
        <f t="shared" si="0"/>
        <v>12800</v>
      </c>
      <c r="J18" s="182">
        <f t="shared" si="1"/>
        <v>12800</v>
      </c>
    </row>
    <row r="19" spans="1:10" ht="46.5" customHeight="1">
      <c r="A19" s="123">
        <v>15</v>
      </c>
      <c r="B19" s="264" t="s">
        <v>29</v>
      </c>
      <c r="C19" s="265"/>
      <c r="D19" s="302">
        <v>200</v>
      </c>
      <c r="E19" s="303"/>
      <c r="F19" s="304"/>
      <c r="G19" s="123">
        <v>4</v>
      </c>
      <c r="H19" s="123">
        <v>6</v>
      </c>
      <c r="I19" s="182">
        <f t="shared" si="0"/>
        <v>4800</v>
      </c>
      <c r="J19" s="182">
        <f t="shared" si="1"/>
        <v>4800</v>
      </c>
    </row>
    <row r="20" spans="1:10" ht="46.5" customHeight="1">
      <c r="A20" s="123">
        <v>14</v>
      </c>
      <c r="B20" s="269" t="s">
        <v>761</v>
      </c>
      <c r="C20" s="269"/>
      <c r="D20" s="267">
        <v>800</v>
      </c>
      <c r="E20" s="267"/>
      <c r="F20" s="267"/>
      <c r="G20" s="123">
        <v>3</v>
      </c>
      <c r="H20" s="123">
        <v>3</v>
      </c>
      <c r="I20" s="182">
        <f t="shared" si="0"/>
        <v>7200</v>
      </c>
      <c r="J20" s="182">
        <f t="shared" si="1"/>
        <v>7200</v>
      </c>
    </row>
    <row r="21" spans="1:10" ht="46.5" customHeight="1">
      <c r="A21" s="123">
        <v>15</v>
      </c>
      <c r="B21" s="264" t="s">
        <v>29</v>
      </c>
      <c r="C21" s="265"/>
      <c r="D21" s="302">
        <v>200</v>
      </c>
      <c r="E21" s="303"/>
      <c r="F21" s="304"/>
      <c r="G21" s="123">
        <v>3</v>
      </c>
      <c r="H21" s="123">
        <v>5</v>
      </c>
      <c r="I21" s="182">
        <f t="shared" si="0"/>
        <v>3000</v>
      </c>
      <c r="J21" s="182">
        <f t="shared" si="1"/>
        <v>3000</v>
      </c>
    </row>
    <row r="22" spans="1:10" ht="58.5" customHeight="1">
      <c r="A22" s="123">
        <v>12</v>
      </c>
      <c r="B22" s="269" t="s">
        <v>30</v>
      </c>
      <c r="C22" s="269"/>
      <c r="D22" s="267">
        <v>800</v>
      </c>
      <c r="E22" s="267"/>
      <c r="F22" s="267"/>
      <c r="G22" s="123">
        <v>6</v>
      </c>
      <c r="H22" s="123">
        <v>5</v>
      </c>
      <c r="I22" s="182">
        <f t="shared" si="0"/>
        <v>24000</v>
      </c>
      <c r="J22" s="182">
        <f t="shared" si="1"/>
        <v>24000</v>
      </c>
    </row>
    <row r="23" spans="1:10" ht="63.75" customHeight="1">
      <c r="A23" s="123">
        <v>15</v>
      </c>
      <c r="B23" s="264" t="s">
        <v>31</v>
      </c>
      <c r="C23" s="265"/>
      <c r="D23" s="302">
        <v>200</v>
      </c>
      <c r="E23" s="303"/>
      <c r="F23" s="304"/>
      <c r="G23" s="123">
        <v>6</v>
      </c>
      <c r="H23" s="123">
        <v>7</v>
      </c>
      <c r="I23" s="182">
        <f t="shared" si="0"/>
        <v>8400</v>
      </c>
      <c r="J23" s="182">
        <f t="shared" si="1"/>
        <v>8400</v>
      </c>
    </row>
    <row r="24" spans="1:10" ht="47.25" customHeight="1">
      <c r="A24" s="123">
        <v>14</v>
      </c>
      <c r="B24" s="271" t="s">
        <v>763</v>
      </c>
      <c r="C24" s="271"/>
      <c r="D24" s="267">
        <v>800</v>
      </c>
      <c r="E24" s="267"/>
      <c r="F24" s="267"/>
      <c r="G24" s="123">
        <v>7</v>
      </c>
      <c r="H24" s="123">
        <v>3</v>
      </c>
      <c r="I24" s="182">
        <f t="shared" si="0"/>
        <v>16800</v>
      </c>
      <c r="J24" s="182">
        <f t="shared" si="1"/>
        <v>16800</v>
      </c>
    </row>
    <row r="25" spans="1:10" ht="48" customHeight="1">
      <c r="A25" s="123">
        <v>15</v>
      </c>
      <c r="B25" s="264" t="s">
        <v>32</v>
      </c>
      <c r="C25" s="265"/>
      <c r="D25" s="302">
        <v>200</v>
      </c>
      <c r="E25" s="303"/>
      <c r="F25" s="304"/>
      <c r="G25" s="123">
        <v>7</v>
      </c>
      <c r="H25" s="123">
        <v>5</v>
      </c>
      <c r="I25" s="182">
        <f t="shared" si="0"/>
        <v>7000</v>
      </c>
      <c r="J25" s="182">
        <f t="shared" si="1"/>
        <v>7000</v>
      </c>
    </row>
    <row r="26" spans="1:10" ht="47.25" customHeight="1">
      <c r="A26" s="123">
        <v>16</v>
      </c>
      <c r="B26" s="271" t="s">
        <v>764</v>
      </c>
      <c r="C26" s="271"/>
      <c r="D26" s="267">
        <v>800</v>
      </c>
      <c r="E26" s="267"/>
      <c r="F26" s="267"/>
      <c r="G26" s="123">
        <v>6</v>
      </c>
      <c r="H26" s="123">
        <v>5</v>
      </c>
      <c r="I26" s="182">
        <f t="shared" si="0"/>
        <v>24000</v>
      </c>
      <c r="J26" s="182">
        <f t="shared" si="1"/>
        <v>24000</v>
      </c>
    </row>
    <row r="27" spans="1:10" ht="48.75" customHeight="1">
      <c r="A27" s="123">
        <v>15</v>
      </c>
      <c r="B27" s="264" t="s">
        <v>33</v>
      </c>
      <c r="C27" s="265"/>
      <c r="D27" s="302">
        <v>200</v>
      </c>
      <c r="E27" s="303"/>
      <c r="F27" s="304"/>
      <c r="G27" s="123">
        <v>6</v>
      </c>
      <c r="H27" s="123">
        <v>7</v>
      </c>
      <c r="I27" s="182">
        <f t="shared" si="0"/>
        <v>8400</v>
      </c>
      <c r="J27" s="182">
        <f t="shared" si="1"/>
        <v>8400</v>
      </c>
    </row>
    <row r="28" spans="1:10" ht="45" customHeight="1">
      <c r="A28" s="123">
        <v>18</v>
      </c>
      <c r="B28" s="269" t="s">
        <v>765</v>
      </c>
      <c r="C28" s="269"/>
      <c r="D28" s="267">
        <v>800</v>
      </c>
      <c r="E28" s="267"/>
      <c r="F28" s="267"/>
      <c r="G28" s="123">
        <v>5</v>
      </c>
      <c r="H28" s="123">
        <v>3</v>
      </c>
      <c r="I28" s="182">
        <f t="shared" si="0"/>
        <v>12000</v>
      </c>
      <c r="J28" s="182">
        <f t="shared" si="1"/>
        <v>12000</v>
      </c>
    </row>
    <row r="29" spans="1:10" ht="48.75" customHeight="1">
      <c r="A29" s="123">
        <v>15</v>
      </c>
      <c r="B29" s="264" t="s">
        <v>35</v>
      </c>
      <c r="C29" s="265"/>
      <c r="D29" s="302">
        <v>200</v>
      </c>
      <c r="E29" s="303"/>
      <c r="F29" s="304"/>
      <c r="G29" s="123">
        <v>5</v>
      </c>
      <c r="H29" s="123">
        <v>4</v>
      </c>
      <c r="I29" s="182">
        <f t="shared" si="0"/>
        <v>4000</v>
      </c>
      <c r="J29" s="182">
        <f t="shared" si="1"/>
        <v>4000</v>
      </c>
    </row>
    <row r="30" spans="1:10" ht="44.25" customHeight="1">
      <c r="A30" s="123">
        <v>20</v>
      </c>
      <c r="B30" s="269" t="s">
        <v>766</v>
      </c>
      <c r="C30" s="269"/>
      <c r="D30" s="267">
        <v>800</v>
      </c>
      <c r="E30" s="267"/>
      <c r="F30" s="267"/>
      <c r="G30" s="123">
        <v>16</v>
      </c>
      <c r="H30" s="123">
        <v>5</v>
      </c>
      <c r="I30" s="182">
        <f t="shared" si="0"/>
        <v>64000</v>
      </c>
      <c r="J30" s="182">
        <f t="shared" si="1"/>
        <v>64000</v>
      </c>
    </row>
    <row r="31" spans="1:10" ht="48" customHeight="1">
      <c r="A31" s="123">
        <v>15</v>
      </c>
      <c r="B31" s="264" t="s">
        <v>34</v>
      </c>
      <c r="C31" s="265"/>
      <c r="D31" s="302">
        <v>200</v>
      </c>
      <c r="E31" s="303"/>
      <c r="F31" s="304"/>
      <c r="G31" s="123">
        <v>16</v>
      </c>
      <c r="H31" s="123">
        <v>7</v>
      </c>
      <c r="I31" s="182">
        <f t="shared" si="0"/>
        <v>22400</v>
      </c>
      <c r="J31" s="182">
        <f t="shared" si="1"/>
        <v>22400</v>
      </c>
    </row>
    <row r="32" spans="1:10" ht="77.25" customHeight="1">
      <c r="A32" s="123">
        <v>22</v>
      </c>
      <c r="B32" s="269" t="s">
        <v>767</v>
      </c>
      <c r="C32" s="269"/>
      <c r="D32" s="267">
        <v>700</v>
      </c>
      <c r="E32" s="267"/>
      <c r="F32" s="267"/>
      <c r="G32" s="100">
        <v>16</v>
      </c>
      <c r="H32" s="100">
        <v>5</v>
      </c>
      <c r="I32" s="182">
        <f t="shared" si="0"/>
        <v>56000</v>
      </c>
      <c r="J32" s="182">
        <f t="shared" si="1"/>
        <v>56000</v>
      </c>
    </row>
    <row r="33" spans="1:12" ht="62.25" customHeight="1">
      <c r="A33" s="123">
        <v>15</v>
      </c>
      <c r="B33" s="264" t="s">
        <v>36</v>
      </c>
      <c r="C33" s="265"/>
      <c r="D33" s="302">
        <v>200</v>
      </c>
      <c r="E33" s="303"/>
      <c r="F33" s="304"/>
      <c r="G33" s="123">
        <v>16</v>
      </c>
      <c r="H33" s="123">
        <v>6</v>
      </c>
      <c r="I33" s="182">
        <f t="shared" si="0"/>
        <v>19200</v>
      </c>
      <c r="J33" s="182">
        <f t="shared" si="1"/>
        <v>19200</v>
      </c>
    </row>
    <row r="34" spans="1:12" ht="77.25" customHeight="1">
      <c r="A34" s="123">
        <v>23</v>
      </c>
      <c r="B34" s="269" t="s">
        <v>37</v>
      </c>
      <c r="C34" s="269"/>
      <c r="D34" s="267">
        <f>1000*2</f>
        <v>2000</v>
      </c>
      <c r="E34" s="267"/>
      <c r="F34" s="267"/>
      <c r="G34" s="100">
        <v>15</v>
      </c>
      <c r="H34" s="101">
        <v>1</v>
      </c>
      <c r="I34" s="182">
        <f t="shared" si="0"/>
        <v>30000</v>
      </c>
      <c r="J34" s="182">
        <f t="shared" si="1"/>
        <v>30000</v>
      </c>
    </row>
    <row r="35" spans="1:12" ht="93.75" customHeight="1">
      <c r="A35" s="123">
        <v>24</v>
      </c>
      <c r="B35" s="269" t="s">
        <v>38</v>
      </c>
      <c r="C35" s="269"/>
      <c r="D35" s="267">
        <v>600</v>
      </c>
      <c r="E35" s="267"/>
      <c r="F35" s="267"/>
      <c r="G35" s="100">
        <v>15</v>
      </c>
      <c r="H35" s="100">
        <v>4</v>
      </c>
      <c r="I35" s="182">
        <f t="shared" si="0"/>
        <v>36000</v>
      </c>
      <c r="J35" s="182">
        <f t="shared" si="1"/>
        <v>36000</v>
      </c>
    </row>
    <row r="36" spans="1:12" ht="80.25" customHeight="1">
      <c r="A36" s="123">
        <v>15</v>
      </c>
      <c r="B36" s="264" t="s">
        <v>39</v>
      </c>
      <c r="C36" s="265"/>
      <c r="D36" s="302">
        <v>200</v>
      </c>
      <c r="E36" s="303"/>
      <c r="F36" s="304"/>
      <c r="G36" s="123">
        <v>15</v>
      </c>
      <c r="H36" s="123">
        <v>7</v>
      </c>
      <c r="I36" s="182">
        <f t="shared" si="0"/>
        <v>21000</v>
      </c>
      <c r="J36" s="182">
        <f t="shared" si="1"/>
        <v>21000</v>
      </c>
    </row>
    <row r="37" spans="1:12" ht="60" customHeight="1">
      <c r="A37" s="123">
        <v>26</v>
      </c>
      <c r="B37" s="269" t="s">
        <v>770</v>
      </c>
      <c r="C37" s="269"/>
      <c r="D37" s="267">
        <v>800</v>
      </c>
      <c r="E37" s="267"/>
      <c r="F37" s="267"/>
      <c r="G37" s="100">
        <v>9</v>
      </c>
      <c r="H37" s="100">
        <v>5</v>
      </c>
      <c r="I37" s="182">
        <f t="shared" si="0"/>
        <v>36000</v>
      </c>
      <c r="J37" s="182">
        <f t="shared" si="1"/>
        <v>36000</v>
      </c>
    </row>
    <row r="38" spans="1:12" ht="49.5" customHeight="1">
      <c r="A38" s="123">
        <v>15</v>
      </c>
      <c r="B38" s="264" t="s">
        <v>40</v>
      </c>
      <c r="C38" s="265"/>
      <c r="D38" s="302">
        <v>200</v>
      </c>
      <c r="E38" s="303"/>
      <c r="F38" s="304"/>
      <c r="G38" s="123">
        <v>9</v>
      </c>
      <c r="H38" s="123">
        <v>7</v>
      </c>
      <c r="I38" s="182">
        <f t="shared" si="0"/>
        <v>12600</v>
      </c>
      <c r="J38" s="182">
        <f t="shared" si="1"/>
        <v>12600</v>
      </c>
    </row>
    <row r="39" spans="1:12" ht="47.25" customHeight="1">
      <c r="A39" s="123">
        <v>27</v>
      </c>
      <c r="B39" s="269" t="s">
        <v>771</v>
      </c>
      <c r="C39" s="269"/>
      <c r="D39" s="267">
        <f>(1400+78.13)*2</f>
        <v>2956.26</v>
      </c>
      <c r="E39" s="267"/>
      <c r="F39" s="267"/>
      <c r="G39" s="100">
        <v>16</v>
      </c>
      <c r="H39" s="101">
        <v>1</v>
      </c>
      <c r="I39" s="182">
        <f>ROUND(D39*G39*H39,0)</f>
        <v>47300</v>
      </c>
      <c r="J39" s="182">
        <f t="shared" si="1"/>
        <v>47300</v>
      </c>
    </row>
    <row r="40" spans="1:12" ht="42.75" customHeight="1">
      <c r="A40" s="123">
        <v>28</v>
      </c>
      <c r="B40" s="269" t="s">
        <v>772</v>
      </c>
      <c r="C40" s="269"/>
      <c r="D40" s="267">
        <f>800</f>
        <v>800</v>
      </c>
      <c r="E40" s="267"/>
      <c r="F40" s="267"/>
      <c r="G40" s="100">
        <v>16</v>
      </c>
      <c r="H40" s="100">
        <v>7</v>
      </c>
      <c r="I40" s="182">
        <f t="shared" si="0"/>
        <v>89600</v>
      </c>
      <c r="J40" s="182">
        <f t="shared" si="1"/>
        <v>89600</v>
      </c>
    </row>
    <row r="41" spans="1:12" ht="48" customHeight="1">
      <c r="A41" s="123">
        <v>15</v>
      </c>
      <c r="B41" s="264" t="s">
        <v>41</v>
      </c>
      <c r="C41" s="265"/>
      <c r="D41" s="302">
        <v>200</v>
      </c>
      <c r="E41" s="303"/>
      <c r="F41" s="304"/>
      <c r="G41" s="123">
        <v>16</v>
      </c>
      <c r="H41" s="123">
        <v>11</v>
      </c>
      <c r="I41" s="182">
        <f t="shared" si="0"/>
        <v>35200</v>
      </c>
      <c r="J41" s="182">
        <f t="shared" si="1"/>
        <v>35200</v>
      </c>
    </row>
    <row r="42" spans="1:12" s="128" customFormat="1" ht="15">
      <c r="A42" s="179"/>
      <c r="B42" s="356" t="s">
        <v>493</v>
      </c>
      <c r="C42" s="356"/>
      <c r="D42" s="356" t="s">
        <v>494</v>
      </c>
      <c r="E42" s="356"/>
      <c r="F42" s="356"/>
      <c r="G42" s="179" t="s">
        <v>494</v>
      </c>
      <c r="H42" s="179" t="s">
        <v>494</v>
      </c>
      <c r="I42" s="184">
        <f>SUM(I6:I41)</f>
        <v>898100</v>
      </c>
      <c r="J42" s="184">
        <f>SUM(J6:J41)</f>
        <v>898100</v>
      </c>
      <c r="K42" s="128">
        <f ca="1">'р.3 2017'!D68</f>
        <v>839000</v>
      </c>
      <c r="L42" s="162">
        <f>K42-I42</f>
        <v>-59100</v>
      </c>
    </row>
  </sheetData>
  <mergeCells count="82">
    <mergeCell ref="B42:C42"/>
    <mergeCell ref="D42:F42"/>
    <mergeCell ref="B39:C39"/>
    <mergeCell ref="D39:F39"/>
    <mergeCell ref="B40:C40"/>
    <mergeCell ref="D40:F40"/>
    <mergeCell ref="B41:C41"/>
    <mergeCell ref="D41:F41"/>
    <mergeCell ref="B36:C36"/>
    <mergeCell ref="D36:F36"/>
    <mergeCell ref="B37:C37"/>
    <mergeCell ref="D37:F37"/>
    <mergeCell ref="B38:C38"/>
    <mergeCell ref="D38:F38"/>
    <mergeCell ref="B33:C33"/>
    <mergeCell ref="D33:F33"/>
    <mergeCell ref="B34:C34"/>
    <mergeCell ref="D34:F34"/>
    <mergeCell ref="B35:C35"/>
    <mergeCell ref="D35:F35"/>
    <mergeCell ref="B30:C30"/>
    <mergeCell ref="D30:F30"/>
    <mergeCell ref="B31:C31"/>
    <mergeCell ref="D31:F31"/>
    <mergeCell ref="B32:C32"/>
    <mergeCell ref="D32:F32"/>
    <mergeCell ref="B27:C27"/>
    <mergeCell ref="D27:F27"/>
    <mergeCell ref="B28:C28"/>
    <mergeCell ref="D28:F28"/>
    <mergeCell ref="B29:C29"/>
    <mergeCell ref="D29:F29"/>
    <mergeCell ref="B24:C24"/>
    <mergeCell ref="D24:F24"/>
    <mergeCell ref="B25:C25"/>
    <mergeCell ref="D25:F25"/>
    <mergeCell ref="B26:C26"/>
    <mergeCell ref="D26:F26"/>
    <mergeCell ref="B21:C21"/>
    <mergeCell ref="D21:F21"/>
    <mergeCell ref="B22:C22"/>
    <mergeCell ref="D22:F22"/>
    <mergeCell ref="B23:C23"/>
    <mergeCell ref="D23:F23"/>
    <mergeCell ref="B18:C18"/>
    <mergeCell ref="D18:F18"/>
    <mergeCell ref="B19:C19"/>
    <mergeCell ref="D19:F19"/>
    <mergeCell ref="B20:C20"/>
    <mergeCell ref="D20:F20"/>
    <mergeCell ref="B15:C15"/>
    <mergeCell ref="D15:F15"/>
    <mergeCell ref="B16:C16"/>
    <mergeCell ref="D16:F16"/>
    <mergeCell ref="B17:C17"/>
    <mergeCell ref="D17:F17"/>
    <mergeCell ref="B12:C12"/>
    <mergeCell ref="D12:F12"/>
    <mergeCell ref="B13:C13"/>
    <mergeCell ref="D13:F13"/>
    <mergeCell ref="B14:C14"/>
    <mergeCell ref="D14:F14"/>
    <mergeCell ref="B9:C9"/>
    <mergeCell ref="D9:F9"/>
    <mergeCell ref="B10:C10"/>
    <mergeCell ref="D10:F10"/>
    <mergeCell ref="B11:C11"/>
    <mergeCell ref="D11:F11"/>
    <mergeCell ref="A1:J1"/>
    <mergeCell ref="A2:J2"/>
    <mergeCell ref="A3:J3"/>
    <mergeCell ref="B7:C7"/>
    <mergeCell ref="D7:F7"/>
    <mergeCell ref="B8:C8"/>
    <mergeCell ref="D8:F8"/>
    <mergeCell ref="B5:C5"/>
    <mergeCell ref="D5:F5"/>
    <mergeCell ref="I5:J5"/>
    <mergeCell ref="B6:C6"/>
    <mergeCell ref="D6:F6"/>
    <mergeCell ref="B4:C4"/>
    <mergeCell ref="D4:F4"/>
  </mergeCells>
  <phoneticPr fontId="0" type="noConversion"/>
  <pageMargins left="1.0629921259842521" right="0.47244094488188981" top="0.27559055118110237" bottom="7.874015748031496E-2" header="0.19685039370078741" footer="0.19685039370078741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CFF"/>
  </sheetPr>
  <dimension ref="A1:K225"/>
  <sheetViews>
    <sheetView topLeftCell="A62" zoomScale="90" zoomScaleNormal="90" workbookViewId="0">
      <selection activeCell="U143" sqref="U143"/>
    </sheetView>
  </sheetViews>
  <sheetFormatPr defaultColWidth="9.1796875" defaultRowHeight="14.5"/>
  <cols>
    <col min="1" max="1" width="4.7265625" style="70" customWidth="1"/>
    <col min="2" max="2" width="15.453125" style="70" customWidth="1"/>
    <col min="3" max="3" width="17.7265625" style="70" customWidth="1"/>
    <col min="4" max="4" width="15.26953125" style="70" customWidth="1"/>
    <col min="5" max="5" width="17.7265625" style="70" customWidth="1"/>
    <col min="6" max="6" width="17.81640625" style="70" customWidth="1"/>
    <col min="7" max="7" width="23.81640625" customWidth="1"/>
    <col min="8" max="9" width="12.7265625" style="70" bestFit="1" customWidth="1"/>
    <col min="10" max="16384" width="9.1796875" style="70"/>
  </cols>
  <sheetData>
    <row r="1" spans="1:11" ht="15" hidden="1" customHeight="1">
      <c r="A1" s="273" t="s">
        <v>554</v>
      </c>
      <c r="B1" s="273"/>
      <c r="C1" s="273"/>
      <c r="D1" s="273"/>
      <c r="E1" s="273"/>
      <c r="F1" s="273"/>
      <c r="G1" s="273"/>
    </row>
    <row r="2" spans="1:11" ht="15" hidden="1" customHeight="1">
      <c r="A2" s="273"/>
      <c r="B2" s="273"/>
      <c r="C2" s="273"/>
      <c r="D2" s="273"/>
      <c r="E2" s="273"/>
      <c r="F2" s="273"/>
      <c r="G2" s="273"/>
      <c r="I2" s="70">
        <v>262</v>
      </c>
    </row>
    <row r="3" spans="1:11" ht="15" hidden="1" customHeight="1">
      <c r="A3" s="273"/>
      <c r="B3" s="273"/>
      <c r="C3" s="273"/>
      <c r="D3" s="273"/>
      <c r="E3" s="273"/>
      <c r="F3" s="273"/>
      <c r="G3" s="273"/>
    </row>
    <row r="4" spans="1:11" ht="15" hidden="1" customHeight="1">
      <c r="A4" s="273"/>
      <c r="B4" s="273"/>
      <c r="C4" s="273"/>
      <c r="D4" s="273"/>
      <c r="E4" s="273"/>
      <c r="F4" s="273"/>
      <c r="G4" s="273"/>
    </row>
    <row r="5" spans="1:11" ht="15" hidden="1" customHeight="1">
      <c r="A5" s="273"/>
      <c r="B5" s="273"/>
      <c r="C5" s="273"/>
      <c r="D5" s="273"/>
      <c r="E5" s="273"/>
      <c r="F5" s="273"/>
      <c r="G5" s="273"/>
    </row>
    <row r="6" spans="1:11" ht="15" hidden="1" customHeight="1">
      <c r="A6" s="273"/>
      <c r="B6" s="273"/>
      <c r="C6" s="273"/>
      <c r="D6" s="273"/>
      <c r="E6" s="273"/>
      <c r="F6" s="273"/>
      <c r="G6" s="273"/>
    </row>
    <row r="7" spans="1:11" ht="15" hidden="1" customHeight="1">
      <c r="A7" s="273"/>
      <c r="B7" s="273"/>
      <c r="C7" s="273"/>
      <c r="D7" s="273"/>
      <c r="E7" s="273"/>
      <c r="F7" s="273"/>
      <c r="G7" s="273"/>
    </row>
    <row r="8" spans="1:11" ht="45" hidden="1" customHeight="1">
      <c r="A8" s="273"/>
      <c r="B8" s="273"/>
      <c r="C8" s="273"/>
      <c r="D8" s="273"/>
      <c r="E8" s="273"/>
      <c r="F8" s="273"/>
      <c r="G8" s="273"/>
    </row>
    <row r="9" spans="1:11" ht="15" hidden="1" customHeight="1">
      <c r="A9" s="273"/>
      <c r="B9" s="273"/>
      <c r="C9" s="273"/>
      <c r="D9" s="273"/>
      <c r="E9" s="273"/>
      <c r="F9" s="273"/>
      <c r="G9" s="273"/>
    </row>
    <row r="10" spans="1:11" ht="15" hidden="1" customHeight="1">
      <c r="A10" s="273"/>
      <c r="B10" s="273"/>
      <c r="C10" s="273"/>
      <c r="D10" s="273"/>
      <c r="E10" s="273"/>
      <c r="F10" s="273"/>
      <c r="G10" s="273"/>
    </row>
    <row r="11" spans="1:11" ht="15" hidden="1" customHeight="1">
      <c r="A11" s="273"/>
      <c r="B11" s="273"/>
      <c r="C11" s="273"/>
      <c r="D11" s="273"/>
      <c r="E11" s="273"/>
      <c r="F11" s="273"/>
      <c r="G11" s="273"/>
    </row>
    <row r="12" spans="1:11" ht="15" hidden="1" customHeight="1">
      <c r="A12" s="273"/>
      <c r="B12" s="273"/>
      <c r="C12" s="273"/>
      <c r="D12" s="273"/>
      <c r="E12" s="273"/>
      <c r="F12" s="273"/>
      <c r="G12" s="273"/>
    </row>
    <row r="13" spans="1:11" ht="15" customHeight="1">
      <c r="A13" s="273"/>
      <c r="B13" s="273"/>
      <c r="C13" s="273"/>
      <c r="D13" s="273"/>
      <c r="E13" s="273"/>
      <c r="F13" s="273"/>
      <c r="G13" s="273"/>
      <c r="J13" s="70">
        <v>290</v>
      </c>
      <c r="K13" s="70">
        <v>1143</v>
      </c>
    </row>
    <row r="14" spans="1:11" ht="15" customHeight="1">
      <c r="A14" s="273" t="s">
        <v>563</v>
      </c>
      <c r="B14" s="273"/>
      <c r="C14" s="273"/>
      <c r="D14" s="273"/>
      <c r="E14" s="273"/>
      <c r="F14" s="273"/>
      <c r="G14" s="273"/>
    </row>
    <row r="15" spans="1:11" ht="15" customHeight="1">
      <c r="A15" s="95"/>
      <c r="B15" s="95"/>
      <c r="C15" s="95"/>
      <c r="D15" s="95"/>
      <c r="E15" s="95"/>
      <c r="F15" s="95"/>
    </row>
    <row r="16" spans="1:11" ht="27" customHeight="1">
      <c r="A16" s="270" t="s">
        <v>132</v>
      </c>
      <c r="B16" s="270"/>
      <c r="C16" s="270"/>
      <c r="D16" s="270"/>
      <c r="E16" s="270"/>
      <c r="F16" s="270"/>
      <c r="G16" s="270"/>
    </row>
    <row r="17" spans="1:9" ht="15" customHeight="1">
      <c r="A17" s="273" t="s">
        <v>10</v>
      </c>
      <c r="B17" s="273"/>
      <c r="C17" s="273"/>
      <c r="D17" s="273"/>
      <c r="E17" s="273"/>
      <c r="F17" s="273"/>
      <c r="G17" s="273"/>
    </row>
    <row r="18" spans="1:9" ht="15" customHeight="1">
      <c r="A18" s="318" t="s">
        <v>137</v>
      </c>
      <c r="B18" s="318"/>
      <c r="C18" s="318"/>
      <c r="D18" s="318"/>
      <c r="E18" s="318"/>
      <c r="F18" s="318"/>
      <c r="G18" s="318"/>
    </row>
    <row r="19" spans="1:9" ht="60" customHeight="1">
      <c r="A19" s="144" t="s">
        <v>485</v>
      </c>
      <c r="B19" s="144" t="s">
        <v>497</v>
      </c>
      <c r="C19" s="144" t="s">
        <v>564</v>
      </c>
      <c r="D19" s="144" t="s">
        <v>565</v>
      </c>
      <c r="E19" s="261" t="s">
        <v>183</v>
      </c>
      <c r="F19" s="261"/>
      <c r="G19" s="144" t="s">
        <v>184</v>
      </c>
    </row>
    <row r="20" spans="1:9" ht="15" customHeight="1">
      <c r="A20" s="144">
        <v>1</v>
      </c>
      <c r="B20" s="144">
        <v>2</v>
      </c>
      <c r="C20" s="144">
        <v>3</v>
      </c>
      <c r="D20" s="144">
        <v>4</v>
      </c>
      <c r="E20" s="261">
        <v>5</v>
      </c>
      <c r="F20" s="261"/>
      <c r="G20" s="261"/>
    </row>
    <row r="21" spans="1:9" ht="45.75" customHeight="1">
      <c r="A21" s="144">
        <v>1</v>
      </c>
      <c r="B21" s="144" t="s">
        <v>9</v>
      </c>
      <c r="C21" s="148">
        <v>58354</v>
      </c>
      <c r="D21" s="142">
        <v>2.2000000000000002</v>
      </c>
      <c r="E21" s="306">
        <f>CEILING(C21*D21/100,100)</f>
        <v>1300</v>
      </c>
      <c r="F21" s="306"/>
      <c r="G21" s="201">
        <f>E21</f>
        <v>1300</v>
      </c>
    </row>
    <row r="22" spans="1:9" ht="15" customHeight="1">
      <c r="A22" s="144"/>
      <c r="B22" s="144" t="s">
        <v>493</v>
      </c>
      <c r="C22" s="144"/>
      <c r="D22" s="144" t="s">
        <v>494</v>
      </c>
      <c r="E22" s="306">
        <f>SUM(E21)</f>
        <v>1300</v>
      </c>
      <c r="F22" s="328"/>
      <c r="G22" s="200">
        <f>SUM(G21)</f>
        <v>1300</v>
      </c>
      <c r="H22" s="70">
        <f ca="1">'р.3 2017'!D80</f>
        <v>362636.4</v>
      </c>
      <c r="I22" s="70">
        <f>E22-H22</f>
        <v>-361336.4</v>
      </c>
    </row>
    <row r="23" spans="1:9" ht="15" customHeight="1">
      <c r="G23" s="197"/>
    </row>
    <row r="24" spans="1:9" ht="15" hidden="1" customHeight="1">
      <c r="A24" s="273" t="s">
        <v>559</v>
      </c>
      <c r="B24" s="273"/>
      <c r="C24" s="273"/>
      <c r="D24" s="273"/>
      <c r="E24" s="273"/>
      <c r="F24" s="273"/>
      <c r="G24" s="197"/>
    </row>
    <row r="25" spans="1:9" ht="15" hidden="1" customHeight="1">
      <c r="A25" s="273" t="s">
        <v>560</v>
      </c>
      <c r="B25" s="273"/>
      <c r="C25" s="273"/>
      <c r="D25" s="273"/>
      <c r="E25" s="273"/>
      <c r="F25" s="273"/>
      <c r="G25" s="197"/>
    </row>
    <row r="26" spans="1:9" ht="15" hidden="1" customHeight="1">
      <c r="G26" s="197"/>
    </row>
    <row r="27" spans="1:9" ht="15" hidden="1" customHeight="1">
      <c r="A27" s="260" t="s">
        <v>504</v>
      </c>
      <c r="B27" s="260"/>
      <c r="C27" s="260"/>
      <c r="D27" s="260"/>
      <c r="E27" s="260"/>
      <c r="F27" s="260"/>
      <c r="G27" s="197"/>
    </row>
    <row r="28" spans="1:9" ht="15" hidden="1" customHeight="1">
      <c r="A28" s="143" t="s">
        <v>505</v>
      </c>
      <c r="B28" s="96"/>
      <c r="C28" s="96"/>
      <c r="D28" s="96"/>
      <c r="E28" s="96"/>
      <c r="F28" s="96"/>
      <c r="G28" s="197"/>
    </row>
    <row r="29" spans="1:9" ht="15" hidden="1" customHeight="1">
      <c r="G29" s="197"/>
    </row>
    <row r="30" spans="1:9" ht="50.15" hidden="1" customHeight="1">
      <c r="A30" s="142" t="s">
        <v>485</v>
      </c>
      <c r="B30" s="261" t="s">
        <v>223</v>
      </c>
      <c r="C30" s="261"/>
      <c r="D30" s="142" t="s">
        <v>556</v>
      </c>
      <c r="E30" s="142" t="s">
        <v>557</v>
      </c>
      <c r="F30" s="142" t="s">
        <v>561</v>
      </c>
      <c r="G30" s="197"/>
    </row>
    <row r="31" spans="1:9" ht="15" hidden="1" customHeight="1">
      <c r="A31" s="142">
        <v>1</v>
      </c>
      <c r="B31" s="330">
        <v>2</v>
      </c>
      <c r="C31" s="331"/>
      <c r="D31" s="142">
        <v>3</v>
      </c>
      <c r="E31" s="142">
        <v>4</v>
      </c>
      <c r="F31" s="142">
        <v>5</v>
      </c>
      <c r="G31" s="197"/>
    </row>
    <row r="32" spans="1:9" ht="15" hidden="1" customHeight="1">
      <c r="A32" s="142"/>
      <c r="B32" s="330"/>
      <c r="C32" s="331"/>
      <c r="D32" s="142"/>
      <c r="E32" s="142"/>
      <c r="F32" s="142"/>
      <c r="G32" s="197"/>
    </row>
    <row r="33" spans="1:9" ht="15" hidden="1" customHeight="1">
      <c r="A33" s="142"/>
      <c r="B33" s="330" t="s">
        <v>493</v>
      </c>
      <c r="C33" s="331"/>
      <c r="D33" s="142" t="s">
        <v>494</v>
      </c>
      <c r="E33" s="142" t="s">
        <v>494</v>
      </c>
      <c r="F33" s="142"/>
      <c r="G33" s="197"/>
    </row>
    <row r="34" spans="1:9" s="72" customFormat="1" ht="15" hidden="1" customHeight="1"/>
    <row r="35" spans="1:9" s="72" customFormat="1" ht="15" hidden="1" customHeight="1">
      <c r="A35" s="273" t="s">
        <v>567</v>
      </c>
      <c r="B35" s="273"/>
      <c r="C35" s="273"/>
      <c r="D35" s="273"/>
      <c r="E35" s="273"/>
      <c r="F35" s="273"/>
    </row>
    <row r="36" spans="1:9" s="72" customFormat="1" ht="15" hidden="1" customHeight="1">
      <c r="A36" s="273" t="s">
        <v>568</v>
      </c>
      <c r="B36" s="273"/>
      <c r="C36" s="273"/>
      <c r="D36" s="273"/>
      <c r="E36" s="273"/>
      <c r="F36" s="273"/>
    </row>
    <row r="37" spans="1:9" s="72" customFormat="1" ht="15" hidden="1" customHeight="1"/>
    <row r="38" spans="1:9" s="72" customFormat="1" ht="15" hidden="1" customHeight="1">
      <c r="A38" s="260" t="s">
        <v>504</v>
      </c>
      <c r="B38" s="260"/>
      <c r="C38" s="260"/>
      <c r="D38" s="260"/>
      <c r="E38" s="260"/>
      <c r="F38" s="260"/>
    </row>
    <row r="39" spans="1:9" s="72" customFormat="1" ht="15" hidden="1" customHeight="1">
      <c r="A39" s="260" t="s">
        <v>505</v>
      </c>
      <c r="B39" s="260"/>
      <c r="C39" s="260"/>
      <c r="D39" s="260"/>
      <c r="E39" s="260"/>
      <c r="F39" s="260"/>
      <c r="I39" s="72" t="s">
        <v>8</v>
      </c>
    </row>
    <row r="40" spans="1:9" hidden="1">
      <c r="G40" s="197"/>
    </row>
    <row r="41" spans="1:9" ht="45" hidden="1" customHeight="1">
      <c r="A41" s="144" t="s">
        <v>485</v>
      </c>
      <c r="B41" s="261" t="s">
        <v>223</v>
      </c>
      <c r="C41" s="261"/>
      <c r="D41" s="144" t="s">
        <v>556</v>
      </c>
      <c r="E41" s="144" t="s">
        <v>557</v>
      </c>
      <c r="F41" s="144" t="s">
        <v>561</v>
      </c>
      <c r="G41" s="197"/>
    </row>
    <row r="42" spans="1:9" ht="15" hidden="1" customHeight="1">
      <c r="A42" s="144">
        <v>1</v>
      </c>
      <c r="B42" s="261">
        <v>2</v>
      </c>
      <c r="C42" s="261"/>
      <c r="D42" s="144">
        <v>3</v>
      </c>
      <c r="E42" s="144">
        <v>4</v>
      </c>
      <c r="F42" s="144">
        <v>5</v>
      </c>
      <c r="G42" s="197"/>
    </row>
    <row r="43" spans="1:9" ht="15" hidden="1" customHeight="1">
      <c r="A43" s="144"/>
      <c r="B43" s="261"/>
      <c r="C43" s="261"/>
      <c r="D43" s="144"/>
      <c r="E43" s="144"/>
      <c r="F43" s="144"/>
      <c r="G43" s="197"/>
    </row>
    <row r="44" spans="1:9" ht="15" hidden="1" customHeight="1">
      <c r="A44" s="144"/>
      <c r="B44" s="261"/>
      <c r="C44" s="261"/>
      <c r="D44" s="144"/>
      <c r="E44" s="144"/>
      <c r="F44" s="144"/>
      <c r="G44" s="197"/>
    </row>
    <row r="45" spans="1:9" ht="15" hidden="1" customHeight="1">
      <c r="A45" s="144"/>
      <c r="B45" s="261" t="s">
        <v>493</v>
      </c>
      <c r="C45" s="261"/>
      <c r="D45" s="144" t="s">
        <v>494</v>
      </c>
      <c r="E45" s="144" t="s">
        <v>494</v>
      </c>
      <c r="F45" s="144"/>
      <c r="G45" s="197"/>
    </row>
    <row r="46" spans="1:9" ht="15" hidden="1" customHeight="1">
      <c r="G46" s="197"/>
    </row>
    <row r="47" spans="1:9" ht="15" customHeight="1">
      <c r="A47" s="273" t="s">
        <v>569</v>
      </c>
      <c r="B47" s="273"/>
      <c r="C47" s="273"/>
      <c r="D47" s="273"/>
      <c r="E47" s="273"/>
      <c r="F47" s="273"/>
      <c r="G47" s="273"/>
    </row>
    <row r="48" spans="1:9" ht="15" customHeight="1">
      <c r="A48" s="273"/>
      <c r="B48" s="273"/>
      <c r="C48" s="273"/>
      <c r="D48" s="273"/>
      <c r="E48" s="273"/>
      <c r="F48" s="273"/>
      <c r="G48" s="197"/>
    </row>
    <row r="49" spans="1:11" ht="18.75" customHeight="1">
      <c r="A49" s="270" t="s">
        <v>197</v>
      </c>
      <c r="B49" s="270"/>
      <c r="C49" s="270"/>
      <c r="D49" s="270"/>
      <c r="E49" s="270"/>
      <c r="F49" s="270"/>
      <c r="G49" s="270"/>
    </row>
    <row r="50" spans="1:11" ht="29.25" customHeight="1">
      <c r="A50" s="270" t="s">
        <v>198</v>
      </c>
      <c r="B50" s="270"/>
      <c r="C50" s="270"/>
      <c r="D50" s="270"/>
      <c r="E50" s="270"/>
      <c r="F50" s="270"/>
      <c r="G50" s="270"/>
      <c r="H50" s="97"/>
      <c r="I50" s="97"/>
      <c r="J50" s="97"/>
      <c r="K50" s="97"/>
    </row>
    <row r="51" spans="1:11" ht="15" customHeight="1">
      <c r="A51" s="273"/>
      <c r="B51" s="273"/>
      <c r="C51" s="273"/>
      <c r="D51" s="273"/>
      <c r="E51" s="273"/>
      <c r="F51" s="273"/>
      <c r="G51" s="197"/>
    </row>
    <row r="52" spans="1:11" ht="15" customHeight="1">
      <c r="A52" s="273" t="s">
        <v>738</v>
      </c>
      <c r="B52" s="273"/>
      <c r="C52" s="273"/>
      <c r="D52" s="273"/>
      <c r="E52" s="273"/>
      <c r="F52" s="273"/>
      <c r="G52" s="273"/>
    </row>
    <row r="53" spans="1:11" ht="10.5" customHeight="1">
      <c r="G53" s="197"/>
    </row>
    <row r="54" spans="1:11" ht="15.5">
      <c r="A54" s="343" t="s">
        <v>739</v>
      </c>
      <c r="B54" s="343"/>
      <c r="C54" s="343"/>
      <c r="D54" s="343"/>
      <c r="E54" s="343"/>
      <c r="F54" s="343"/>
      <c r="G54" s="343"/>
    </row>
    <row r="55" spans="1:11" ht="35.15" customHeight="1">
      <c r="A55" s="144" t="s">
        <v>485</v>
      </c>
      <c r="B55" s="144" t="s">
        <v>497</v>
      </c>
      <c r="C55" s="144" t="s">
        <v>570</v>
      </c>
      <c r="D55" s="144" t="s">
        <v>571</v>
      </c>
      <c r="E55" s="144" t="s">
        <v>572</v>
      </c>
      <c r="F55" s="144" t="s">
        <v>176</v>
      </c>
      <c r="G55" s="144" t="s">
        <v>177</v>
      </c>
    </row>
    <row r="56" spans="1:11" ht="15" customHeight="1">
      <c r="A56" s="144">
        <v>1</v>
      </c>
      <c r="B56" s="144">
        <v>2</v>
      </c>
      <c r="C56" s="144">
        <v>3</v>
      </c>
      <c r="D56" s="144">
        <v>4</v>
      </c>
      <c r="E56" s="144">
        <v>5</v>
      </c>
      <c r="F56" s="332">
        <v>6</v>
      </c>
      <c r="G56" s="332"/>
    </row>
    <row r="57" spans="1:11" ht="75.75" customHeight="1">
      <c r="A57" s="144">
        <v>1</v>
      </c>
      <c r="B57" s="163" t="s">
        <v>101</v>
      </c>
      <c r="C57" s="144">
        <v>1</v>
      </c>
      <c r="D57" s="144">
        <v>12</v>
      </c>
      <c r="E57" s="127">
        <v>1533.33</v>
      </c>
      <c r="F57" s="127">
        <f>ROUND(C57*D57*E57,0)</f>
        <v>18400</v>
      </c>
      <c r="G57" s="202">
        <f>F57</f>
        <v>18400</v>
      </c>
    </row>
    <row r="58" spans="1:11" ht="15" customHeight="1">
      <c r="A58" s="144"/>
      <c r="B58" s="164" t="s">
        <v>493</v>
      </c>
      <c r="C58" s="144" t="s">
        <v>494</v>
      </c>
      <c r="D58" s="144" t="s">
        <v>494</v>
      </c>
      <c r="E58" s="144" t="s">
        <v>494</v>
      </c>
      <c r="F58" s="127">
        <f>SUM(F57)</f>
        <v>18400</v>
      </c>
      <c r="G58" s="203">
        <f>G57</f>
        <v>18400</v>
      </c>
      <c r="H58" s="70">
        <f ca="1">'р.3 2017'!D104</f>
        <v>18400</v>
      </c>
      <c r="I58" s="94">
        <f>F58-H58</f>
        <v>0</v>
      </c>
    </row>
    <row r="59" spans="1:11" ht="8.25" customHeight="1">
      <c r="A59" s="98"/>
      <c r="G59" s="197"/>
    </row>
    <row r="60" spans="1:11" ht="15.5">
      <c r="A60" s="343" t="s">
        <v>740</v>
      </c>
      <c r="B60" s="343"/>
      <c r="C60" s="343"/>
      <c r="D60" s="343"/>
      <c r="E60" s="343"/>
      <c r="F60" s="343"/>
      <c r="G60" s="343"/>
    </row>
    <row r="61" spans="1:11" ht="35.15" customHeight="1">
      <c r="A61" s="144" t="s">
        <v>485</v>
      </c>
      <c r="B61" s="144" t="s">
        <v>497</v>
      </c>
      <c r="C61" s="144" t="s">
        <v>570</v>
      </c>
      <c r="D61" s="144" t="s">
        <v>571</v>
      </c>
      <c r="E61" s="144" t="s">
        <v>572</v>
      </c>
      <c r="F61" s="144" t="s">
        <v>176</v>
      </c>
      <c r="G61" s="144" t="s">
        <v>177</v>
      </c>
    </row>
    <row r="62" spans="1:11" ht="15" customHeight="1">
      <c r="A62" s="144">
        <v>1</v>
      </c>
      <c r="B62" s="144">
        <v>2</v>
      </c>
      <c r="C62" s="144">
        <v>3</v>
      </c>
      <c r="D62" s="144">
        <v>4</v>
      </c>
      <c r="E62" s="144">
        <v>5</v>
      </c>
      <c r="F62" s="332">
        <v>6</v>
      </c>
      <c r="G62" s="332"/>
    </row>
    <row r="63" spans="1:11" ht="89.25" customHeight="1">
      <c r="A63" s="144">
        <v>1</v>
      </c>
      <c r="B63" s="163" t="s">
        <v>100</v>
      </c>
      <c r="C63" s="144">
        <v>1</v>
      </c>
      <c r="D63" s="144">
        <v>12</v>
      </c>
      <c r="E63" s="127">
        <v>4000</v>
      </c>
      <c r="F63" s="127">
        <f>ROUND(C63*D63*E63,0)</f>
        <v>48000</v>
      </c>
      <c r="G63" s="202">
        <f>F63</f>
        <v>48000</v>
      </c>
    </row>
    <row r="64" spans="1:11" ht="15" customHeight="1">
      <c r="A64" s="144"/>
      <c r="B64" s="164" t="s">
        <v>493</v>
      </c>
      <c r="C64" s="144" t="s">
        <v>494</v>
      </c>
      <c r="D64" s="144" t="s">
        <v>494</v>
      </c>
      <c r="E64" s="144" t="s">
        <v>494</v>
      </c>
      <c r="F64" s="127">
        <f>SUM(F63)</f>
        <v>48000</v>
      </c>
      <c r="G64" s="203">
        <f>G63</f>
        <v>48000</v>
      </c>
      <c r="H64" s="70">
        <f ca="1">'р.3 2017'!D105</f>
        <v>48000</v>
      </c>
      <c r="I64" s="94">
        <f>F64-H64</f>
        <v>0</v>
      </c>
    </row>
    <row r="65" spans="1:10" ht="8.25" customHeight="1">
      <c r="A65" s="98"/>
      <c r="G65" s="197"/>
    </row>
    <row r="66" spans="1:10" ht="8.25" customHeight="1">
      <c r="A66" s="98"/>
      <c r="G66" s="197"/>
    </row>
    <row r="67" spans="1:10" ht="15.5">
      <c r="A67" s="329" t="s">
        <v>134</v>
      </c>
      <c r="B67" s="329"/>
      <c r="C67" s="329"/>
      <c r="D67" s="329"/>
      <c r="E67" s="329"/>
      <c r="F67" s="329"/>
      <c r="G67" s="329"/>
    </row>
    <row r="68" spans="1:10" ht="18" customHeight="1">
      <c r="A68" s="273" t="s">
        <v>573</v>
      </c>
      <c r="B68" s="273"/>
      <c r="C68" s="273"/>
      <c r="D68" s="273"/>
      <c r="E68" s="273"/>
      <c r="F68" s="273"/>
      <c r="G68" s="273"/>
    </row>
    <row r="69" spans="1:10" ht="15.5">
      <c r="A69" s="357" t="s">
        <v>65</v>
      </c>
      <c r="B69" s="357"/>
      <c r="C69" s="357"/>
      <c r="D69" s="357"/>
      <c r="E69" s="357"/>
      <c r="F69" s="357"/>
      <c r="G69" s="357"/>
      <c r="J69" s="70">
        <v>22</v>
      </c>
    </row>
    <row r="70" spans="1:10" ht="29.25" customHeight="1">
      <c r="A70" s="144" t="s">
        <v>485</v>
      </c>
      <c r="B70" s="261" t="s">
        <v>497</v>
      </c>
      <c r="C70" s="261"/>
      <c r="D70" s="144" t="s">
        <v>574</v>
      </c>
      <c r="E70" s="144" t="s">
        <v>575</v>
      </c>
      <c r="F70" s="144" t="s">
        <v>185</v>
      </c>
      <c r="G70" s="144" t="s">
        <v>186</v>
      </c>
    </row>
    <row r="71" spans="1:10" ht="15" customHeight="1">
      <c r="A71" s="144">
        <v>1</v>
      </c>
      <c r="B71" s="261">
        <v>2</v>
      </c>
      <c r="C71" s="261"/>
      <c r="D71" s="144">
        <v>3</v>
      </c>
      <c r="E71" s="144">
        <v>4</v>
      </c>
      <c r="F71" s="332">
        <v>5</v>
      </c>
      <c r="G71" s="332"/>
    </row>
    <row r="72" spans="1:10" ht="63.75" customHeight="1">
      <c r="A72" s="144">
        <v>1</v>
      </c>
      <c r="B72" s="264" t="s">
        <v>67</v>
      </c>
      <c r="C72" s="265"/>
      <c r="D72" s="148">
        <f>12*2+83*2</f>
        <v>190</v>
      </c>
      <c r="E72" s="148">
        <v>3000</v>
      </c>
      <c r="F72" s="148">
        <f>ROUND(D72*E72,0)</f>
        <v>570000</v>
      </c>
      <c r="G72" s="148">
        <f>F72</f>
        <v>570000</v>
      </c>
      <c r="I72" s="94"/>
    </row>
    <row r="73" spans="1:10" ht="63" customHeight="1">
      <c r="A73" s="144">
        <v>2</v>
      </c>
      <c r="B73" s="264" t="s">
        <v>69</v>
      </c>
      <c r="C73" s="265"/>
      <c r="D73" s="148">
        <f>2*2+14*2</f>
        <v>32</v>
      </c>
      <c r="E73" s="148">
        <v>3500</v>
      </c>
      <c r="F73" s="148">
        <f>ROUND(D73*E73,0)</f>
        <v>112000</v>
      </c>
      <c r="G73" s="148">
        <f>F73</f>
        <v>112000</v>
      </c>
    </row>
    <row r="74" spans="1:10" ht="63" customHeight="1">
      <c r="A74" s="144">
        <v>3</v>
      </c>
      <c r="B74" s="264" t="s">
        <v>68</v>
      </c>
      <c r="C74" s="265"/>
      <c r="D74" s="148">
        <f>2+7*2</f>
        <v>16</v>
      </c>
      <c r="E74" s="148">
        <v>3500</v>
      </c>
      <c r="F74" s="148">
        <f>ROUND(D74*E74,0)</f>
        <v>56000</v>
      </c>
      <c r="G74" s="148">
        <f>F74</f>
        <v>56000</v>
      </c>
    </row>
    <row r="75" spans="1:10" ht="48.75" customHeight="1">
      <c r="A75" s="144">
        <v>4</v>
      </c>
      <c r="B75" s="264" t="s">
        <v>70</v>
      </c>
      <c r="C75" s="265"/>
      <c r="D75" s="148">
        <v>4</v>
      </c>
      <c r="E75" s="148">
        <v>714</v>
      </c>
      <c r="F75" s="148">
        <f>ROUND(D75*E75,0)</f>
        <v>2856</v>
      </c>
      <c r="G75" s="148">
        <f>F75</f>
        <v>2856</v>
      </c>
      <c r="H75" s="165"/>
    </row>
    <row r="76" spans="1:10" ht="46.5" customHeight="1">
      <c r="A76" s="144">
        <v>5</v>
      </c>
      <c r="B76" s="264" t="s">
        <v>70</v>
      </c>
      <c r="C76" s="265"/>
      <c r="D76" s="148">
        <f>16</f>
        <v>16</v>
      </c>
      <c r="E76" s="148">
        <v>696.5</v>
      </c>
      <c r="F76" s="148">
        <f>ROUND(D76*E76,0)</f>
        <v>11144</v>
      </c>
      <c r="G76" s="148">
        <f>F76</f>
        <v>11144</v>
      </c>
    </row>
    <row r="77" spans="1:10" ht="15" customHeight="1">
      <c r="A77" s="144"/>
      <c r="B77" s="261" t="s">
        <v>493</v>
      </c>
      <c r="C77" s="261"/>
      <c r="D77" s="144"/>
      <c r="E77" s="144"/>
      <c r="F77" s="127">
        <f>SUM(F72:F76)</f>
        <v>752000</v>
      </c>
      <c r="G77" s="127">
        <f>SUM(G72:G76)</f>
        <v>752000</v>
      </c>
      <c r="H77" s="70">
        <f ca="1">'р.3 2017'!D106</f>
        <v>750450</v>
      </c>
      <c r="I77" s="94">
        <f>H77-F77</f>
        <v>-1550</v>
      </c>
    </row>
    <row r="78" spans="1:10">
      <c r="G78" s="197"/>
    </row>
    <row r="79" spans="1:10" ht="31.5" customHeight="1">
      <c r="A79" s="335" t="s">
        <v>135</v>
      </c>
      <c r="B79" s="335"/>
      <c r="C79" s="335"/>
      <c r="D79" s="335"/>
      <c r="E79" s="335"/>
      <c r="F79" s="335"/>
      <c r="G79" s="335"/>
    </row>
    <row r="80" spans="1:10" ht="21" customHeight="1">
      <c r="A80" s="273" t="s">
        <v>577</v>
      </c>
      <c r="B80" s="273"/>
      <c r="C80" s="273"/>
      <c r="D80" s="273"/>
      <c r="E80" s="273"/>
      <c r="F80" s="273"/>
      <c r="G80" s="273"/>
    </row>
    <row r="81" spans="1:10" ht="3" customHeight="1">
      <c r="A81" s="141"/>
      <c r="B81" s="141"/>
      <c r="C81" s="141"/>
      <c r="D81" s="141"/>
      <c r="E81" s="141"/>
      <c r="F81" s="141"/>
      <c r="G81" s="197"/>
    </row>
    <row r="82" spans="1:10" ht="18.75" customHeight="1">
      <c r="A82" s="358" t="s">
        <v>120</v>
      </c>
      <c r="B82" s="358"/>
      <c r="C82" s="358"/>
      <c r="D82" s="358"/>
      <c r="E82" s="358"/>
      <c r="F82" s="358"/>
      <c r="G82" s="358"/>
      <c r="J82" s="70">
        <v>223</v>
      </c>
    </row>
    <row r="83" spans="1:10" ht="45" customHeight="1">
      <c r="A83" s="144" t="s">
        <v>485</v>
      </c>
      <c r="B83" s="144" t="s">
        <v>223</v>
      </c>
      <c r="C83" s="144" t="s">
        <v>578</v>
      </c>
      <c r="D83" s="144" t="s">
        <v>579</v>
      </c>
      <c r="E83" s="144" t="s">
        <v>580</v>
      </c>
      <c r="F83" s="144" t="s">
        <v>187</v>
      </c>
      <c r="G83" s="144" t="s">
        <v>188</v>
      </c>
      <c r="J83" s="95" t="s">
        <v>71</v>
      </c>
    </row>
    <row r="84" spans="1:10" ht="15" customHeight="1">
      <c r="A84" s="144">
        <v>1</v>
      </c>
      <c r="B84" s="144">
        <v>2</v>
      </c>
      <c r="C84" s="144">
        <v>3</v>
      </c>
      <c r="D84" s="144">
        <v>4</v>
      </c>
      <c r="E84" s="144">
        <v>5</v>
      </c>
      <c r="F84" s="332">
        <v>6</v>
      </c>
      <c r="G84" s="332"/>
    </row>
    <row r="85" spans="1:10" ht="42.75" customHeight="1">
      <c r="A85" s="142">
        <v>1</v>
      </c>
      <c r="B85" s="144" t="s">
        <v>124</v>
      </c>
      <c r="C85" s="142">
        <v>114.44499999999999</v>
      </c>
      <c r="D85" s="155">
        <f>ROUND(1984.33*1.18,2)</f>
        <v>2341.5100000000002</v>
      </c>
      <c r="E85" s="142"/>
      <c r="F85" s="148">
        <f>ROUND(C85*D85,0)</f>
        <v>267974</v>
      </c>
      <c r="G85" s="148">
        <f>F85</f>
        <v>267974</v>
      </c>
    </row>
    <row r="86" spans="1:10" ht="43.5" customHeight="1">
      <c r="A86" s="142">
        <v>2</v>
      </c>
      <c r="B86" s="144" t="s">
        <v>125</v>
      </c>
      <c r="C86" s="142">
        <f>70.626</f>
        <v>70.626000000000005</v>
      </c>
      <c r="D86" s="155">
        <f>ROUND(2109.79*1.18,2)</f>
        <v>2489.5500000000002</v>
      </c>
      <c r="E86" s="144"/>
      <c r="F86" s="148">
        <f>ROUND(C86*D86,2)-0.96</f>
        <v>175826</v>
      </c>
      <c r="G86" s="148">
        <f>F86</f>
        <v>175826</v>
      </c>
      <c r="H86" s="94">
        <f>SUM(F85:F86)</f>
        <v>443800</v>
      </c>
      <c r="I86" s="70">
        <f ca="1">'р.3 2017'!D107</f>
        <v>543718.36</v>
      </c>
      <c r="J86" s="94">
        <f>H86-I86</f>
        <v>-99918.359999999986</v>
      </c>
    </row>
    <row r="87" spans="1:10" s="128" customFormat="1" ht="15.75" customHeight="1">
      <c r="A87" s="166"/>
      <c r="B87" s="167" t="s">
        <v>650</v>
      </c>
      <c r="C87" s="144" t="s">
        <v>494</v>
      </c>
      <c r="D87" s="144" t="s">
        <v>494</v>
      </c>
      <c r="E87" s="144" t="s">
        <v>494</v>
      </c>
      <c r="F87" s="168">
        <f>SUM(F85:F86)</f>
        <v>443800</v>
      </c>
      <c r="G87" s="168">
        <f>SUM(G85:G86)</f>
        <v>443800</v>
      </c>
      <c r="H87" s="162"/>
      <c r="J87" s="162"/>
    </row>
    <row r="88" spans="1:10" s="161" customFormat="1" ht="6" customHeight="1">
      <c r="A88" s="156"/>
      <c r="B88" s="95"/>
      <c r="C88" s="156"/>
      <c r="D88" s="157"/>
      <c r="E88" s="95"/>
      <c r="F88" s="158"/>
      <c r="G88" s="198"/>
      <c r="H88" s="160"/>
      <c r="J88" s="160"/>
    </row>
    <row r="89" spans="1:10" ht="32.25" customHeight="1">
      <c r="A89" s="321" t="s">
        <v>121</v>
      </c>
      <c r="B89" s="321"/>
      <c r="C89" s="321"/>
      <c r="D89" s="321"/>
      <c r="E89" s="321"/>
      <c r="F89" s="321"/>
      <c r="G89" s="197"/>
      <c r="H89" s="94"/>
      <c r="J89" s="94"/>
    </row>
    <row r="90" spans="1:10" ht="44.25" customHeight="1">
      <c r="A90" s="144" t="s">
        <v>485</v>
      </c>
      <c r="B90" s="144" t="s">
        <v>223</v>
      </c>
      <c r="C90" s="144" t="s">
        <v>578</v>
      </c>
      <c r="D90" s="144" t="s">
        <v>579</v>
      </c>
      <c r="E90" s="144" t="s">
        <v>580</v>
      </c>
      <c r="F90" s="144" t="s">
        <v>187</v>
      </c>
      <c r="G90" s="144" t="s">
        <v>187</v>
      </c>
      <c r="H90" s="94"/>
      <c r="J90" s="94"/>
    </row>
    <row r="91" spans="1:10" ht="11.25" customHeight="1">
      <c r="A91" s="144">
        <v>1</v>
      </c>
      <c r="B91" s="144">
        <v>2</v>
      </c>
      <c r="C91" s="144">
        <v>3</v>
      </c>
      <c r="D91" s="144">
        <v>4</v>
      </c>
      <c r="E91" s="144">
        <v>5</v>
      </c>
      <c r="F91" s="332">
        <v>6</v>
      </c>
      <c r="G91" s="332"/>
      <c r="H91" s="94"/>
      <c r="J91" s="94"/>
    </row>
    <row r="92" spans="1:10" ht="60.75" customHeight="1">
      <c r="A92" s="169">
        <v>3</v>
      </c>
      <c r="B92" s="170" t="s">
        <v>126</v>
      </c>
      <c r="C92" s="171">
        <f>5000+4600</f>
        <v>9600</v>
      </c>
      <c r="D92" s="172">
        <f>7.8004*1.18</f>
        <v>9.2044719999999991</v>
      </c>
      <c r="E92" s="170"/>
      <c r="F92" s="171">
        <f>ROUND(C92*D92,2)</f>
        <v>88362.93</v>
      </c>
      <c r="G92" s="171">
        <f>F92</f>
        <v>88362.93</v>
      </c>
      <c r="H92" s="94"/>
    </row>
    <row r="93" spans="1:10" ht="59.25" customHeight="1">
      <c r="A93" s="142">
        <v>4</v>
      </c>
      <c r="B93" s="144" t="s">
        <v>127</v>
      </c>
      <c r="C93" s="142">
        <f>8571.157+2840</f>
        <v>11411.156999999999</v>
      </c>
      <c r="D93" s="155">
        <f>8.7364*1.18</f>
        <v>10.308952</v>
      </c>
      <c r="E93" s="144"/>
      <c r="F93" s="148">
        <f>ROUND(C93*D93,2)</f>
        <v>117637.07</v>
      </c>
      <c r="G93" s="148">
        <f>F93</f>
        <v>117637.07</v>
      </c>
      <c r="H93" s="94">
        <f>F92+F93</f>
        <v>206000</v>
      </c>
      <c r="I93" s="70">
        <f ca="1">'р.3 2017'!D108</f>
        <v>106081.64</v>
      </c>
      <c r="J93" s="94">
        <f>H93-I93</f>
        <v>99918.36</v>
      </c>
    </row>
    <row r="94" spans="1:10" ht="16.5" customHeight="1">
      <c r="A94" s="142"/>
      <c r="B94" s="144" t="s">
        <v>493</v>
      </c>
      <c r="C94" s="144" t="s">
        <v>494</v>
      </c>
      <c r="D94" s="144" t="s">
        <v>494</v>
      </c>
      <c r="E94" s="144" t="s">
        <v>494</v>
      </c>
      <c r="F94" s="168">
        <f>SUM(F92:F93)</f>
        <v>206000</v>
      </c>
      <c r="G94" s="168">
        <f>SUM(G92:G93)</f>
        <v>206000</v>
      </c>
      <c r="H94" s="94"/>
      <c r="J94" s="94"/>
    </row>
    <row r="95" spans="1:10" s="137" customFormat="1" ht="20.25" customHeight="1">
      <c r="A95" s="156"/>
      <c r="B95" s="95"/>
      <c r="C95" s="95"/>
      <c r="D95" s="95"/>
      <c r="E95" s="95"/>
      <c r="F95" s="158"/>
      <c r="G95" s="199"/>
      <c r="H95" s="139"/>
      <c r="J95" s="139"/>
    </row>
    <row r="96" spans="1:10" s="137" customFormat="1" ht="36.75" customHeight="1">
      <c r="A96" s="358" t="s">
        <v>122</v>
      </c>
      <c r="B96" s="358"/>
      <c r="C96" s="358"/>
      <c r="D96" s="358"/>
      <c r="E96" s="358"/>
      <c r="F96" s="358"/>
      <c r="G96" s="358"/>
      <c r="H96" s="139"/>
      <c r="J96" s="139"/>
    </row>
    <row r="97" spans="1:10" s="137" customFormat="1" ht="42" customHeight="1">
      <c r="A97" s="144" t="s">
        <v>485</v>
      </c>
      <c r="B97" s="144" t="s">
        <v>223</v>
      </c>
      <c r="C97" s="144" t="s">
        <v>578</v>
      </c>
      <c r="D97" s="144" t="s">
        <v>579</v>
      </c>
      <c r="E97" s="144" t="s">
        <v>580</v>
      </c>
      <c r="F97" s="144" t="s">
        <v>187</v>
      </c>
      <c r="G97" s="144" t="s">
        <v>188</v>
      </c>
      <c r="H97" s="139"/>
      <c r="J97" s="139"/>
    </row>
    <row r="98" spans="1:10" s="137" customFormat="1" ht="20.25" customHeight="1">
      <c r="A98" s="144">
        <v>1</v>
      </c>
      <c r="B98" s="144">
        <v>2</v>
      </c>
      <c r="C98" s="144">
        <v>3</v>
      </c>
      <c r="D98" s="144">
        <v>4</v>
      </c>
      <c r="E98" s="144">
        <v>5</v>
      </c>
      <c r="F98" s="332">
        <v>6</v>
      </c>
      <c r="G98" s="332"/>
      <c r="H98" s="139"/>
      <c r="J98" s="139"/>
    </row>
    <row r="99" spans="1:10" ht="78" customHeight="1">
      <c r="A99" s="169">
        <v>5</v>
      </c>
      <c r="B99" s="170" t="s">
        <v>128</v>
      </c>
      <c r="C99" s="169">
        <v>54</v>
      </c>
      <c r="D99" s="172">
        <f>64.94*1.18</f>
        <v>76.629199999999997</v>
      </c>
      <c r="E99" s="170"/>
      <c r="F99" s="148">
        <f>ROUND(C99*D99,1)</f>
        <v>4138</v>
      </c>
      <c r="G99" s="148">
        <f>F99</f>
        <v>4138</v>
      </c>
      <c r="H99" s="94"/>
    </row>
    <row r="100" spans="1:10" ht="91.5" customHeight="1">
      <c r="A100" s="142">
        <v>6</v>
      </c>
      <c r="B100" s="144" t="s">
        <v>129</v>
      </c>
      <c r="C100" s="142">
        <f>14+58.592</f>
        <v>72.591999999999999</v>
      </c>
      <c r="D100" s="155">
        <f>70.77*1.18</f>
        <v>83.508599999999987</v>
      </c>
      <c r="E100" s="144"/>
      <c r="F100" s="148">
        <f>ROUND(C100*D100,0)</f>
        <v>6062</v>
      </c>
      <c r="G100" s="148">
        <f>F100</f>
        <v>6062</v>
      </c>
      <c r="H100" s="94">
        <f>SUM(F99:F100)</f>
        <v>10200</v>
      </c>
      <c r="I100" s="70">
        <f ca="1">'р.3 2017'!D109</f>
        <v>10200</v>
      </c>
      <c r="J100" s="94">
        <f>H100-I100</f>
        <v>0</v>
      </c>
    </row>
    <row r="101" spans="1:10" ht="20.25" customHeight="1">
      <c r="A101" s="142"/>
      <c r="B101" s="144" t="s">
        <v>493</v>
      </c>
      <c r="C101" s="144" t="s">
        <v>494</v>
      </c>
      <c r="D101" s="144" t="s">
        <v>494</v>
      </c>
      <c r="E101" s="144" t="s">
        <v>494</v>
      </c>
      <c r="F101" s="168">
        <f>SUM(F99:F100)</f>
        <v>10200</v>
      </c>
      <c r="G101" s="168">
        <f>SUM(G99:G100)</f>
        <v>10200</v>
      </c>
      <c r="H101" s="94"/>
      <c r="J101" s="94"/>
    </row>
    <row r="102" spans="1:10" ht="20.25" customHeight="1">
      <c r="A102" s="156"/>
      <c r="B102" s="95"/>
      <c r="C102" s="95"/>
      <c r="D102" s="95"/>
      <c r="E102" s="95"/>
      <c r="F102" s="173"/>
      <c r="G102" s="197"/>
      <c r="H102" s="94"/>
      <c r="J102" s="94"/>
    </row>
    <row r="103" spans="1:10" s="137" customFormat="1" ht="30.75" customHeight="1">
      <c r="A103" s="321" t="s">
        <v>123</v>
      </c>
      <c r="B103" s="321"/>
      <c r="C103" s="321"/>
      <c r="D103" s="321"/>
      <c r="E103" s="321"/>
      <c r="F103" s="321"/>
      <c r="G103" s="321"/>
      <c r="H103" s="139"/>
      <c r="J103" s="139"/>
    </row>
    <row r="104" spans="1:10" ht="46.5" customHeight="1">
      <c r="A104" s="144" t="s">
        <v>485</v>
      </c>
      <c r="B104" s="144" t="s">
        <v>223</v>
      </c>
      <c r="C104" s="144" t="s">
        <v>578</v>
      </c>
      <c r="D104" s="144" t="s">
        <v>579</v>
      </c>
      <c r="E104" s="144" t="s">
        <v>580</v>
      </c>
      <c r="F104" s="144" t="s">
        <v>189</v>
      </c>
      <c r="G104" s="144" t="s">
        <v>190</v>
      </c>
      <c r="H104" s="94"/>
      <c r="J104" s="94"/>
    </row>
    <row r="105" spans="1:10" ht="20.25" customHeight="1">
      <c r="A105" s="144">
        <v>1</v>
      </c>
      <c r="B105" s="144">
        <v>2</v>
      </c>
      <c r="C105" s="144">
        <v>3</v>
      </c>
      <c r="D105" s="144">
        <v>4</v>
      </c>
      <c r="E105" s="144">
        <v>5</v>
      </c>
      <c r="F105" s="359">
        <v>6</v>
      </c>
      <c r="G105" s="360"/>
      <c r="H105" s="94"/>
      <c r="J105" s="94"/>
    </row>
    <row r="106" spans="1:10" ht="75.75" customHeight="1">
      <c r="A106" s="142">
        <v>7</v>
      </c>
      <c r="B106" s="144" t="s">
        <v>130</v>
      </c>
      <c r="C106" s="142">
        <v>54</v>
      </c>
      <c r="D106" s="155">
        <f>ROUND(70.99*1.18,2)</f>
        <v>83.77</v>
      </c>
      <c r="E106" s="144"/>
      <c r="F106" s="148">
        <f>ROUND(C106*D106,0)</f>
        <v>4524</v>
      </c>
      <c r="G106" s="148">
        <f>F106</f>
        <v>4524</v>
      </c>
      <c r="H106" s="94"/>
    </row>
    <row r="107" spans="1:10" ht="76.5" customHeight="1">
      <c r="A107" s="142">
        <v>8</v>
      </c>
      <c r="B107" s="144" t="s">
        <v>131</v>
      </c>
      <c r="C107" s="142">
        <f>14+59.08</f>
        <v>73.08</v>
      </c>
      <c r="D107" s="148">
        <f>ROUND(85.54*1.18,3)</f>
        <v>100.937</v>
      </c>
      <c r="E107" s="142"/>
      <c r="F107" s="148">
        <f>ROUND(C107*D107,0)</f>
        <v>7376</v>
      </c>
      <c r="G107" s="148">
        <f>F107</f>
        <v>7376</v>
      </c>
      <c r="H107" s="124">
        <f>SUM(F106:F107)</f>
        <v>11900</v>
      </c>
      <c r="I107" s="124">
        <f ca="1">'р.3 2017'!D110</f>
        <v>11900</v>
      </c>
      <c r="J107" s="90">
        <f>I107-H107</f>
        <v>0</v>
      </c>
    </row>
    <row r="108" spans="1:10" ht="15" hidden="1" customHeight="1">
      <c r="A108" s="144"/>
      <c r="B108" s="144"/>
      <c r="C108" s="144"/>
      <c r="D108" s="127"/>
      <c r="E108" s="144"/>
      <c r="F108" s="127"/>
      <c r="G108" s="197"/>
    </row>
    <row r="109" spans="1:10" ht="15" hidden="1" customHeight="1">
      <c r="A109" s="144"/>
      <c r="B109" s="144"/>
      <c r="C109" s="144"/>
      <c r="D109" s="127"/>
      <c r="E109" s="144"/>
      <c r="F109" s="127"/>
      <c r="G109" s="197"/>
    </row>
    <row r="110" spans="1:10" ht="15" customHeight="1">
      <c r="A110" s="144"/>
      <c r="B110" s="164" t="s">
        <v>493</v>
      </c>
      <c r="C110" s="144" t="s">
        <v>494</v>
      </c>
      <c r="D110" s="144" t="s">
        <v>494</v>
      </c>
      <c r="E110" s="144" t="s">
        <v>494</v>
      </c>
      <c r="F110" s="127">
        <f>SUM(F106:F109)</f>
        <v>11900</v>
      </c>
      <c r="G110" s="127">
        <f>SUM(G106:G109)</f>
        <v>11900</v>
      </c>
    </row>
    <row r="111" spans="1:10">
      <c r="G111" s="197"/>
    </row>
    <row r="112" spans="1:10" ht="15.5" hidden="1">
      <c r="A112" s="273" t="s">
        <v>582</v>
      </c>
      <c r="B112" s="273"/>
      <c r="C112" s="273"/>
      <c r="D112" s="273"/>
      <c r="E112" s="273"/>
      <c r="F112" s="273"/>
      <c r="G112" s="197"/>
    </row>
    <row r="113" spans="1:11" hidden="1">
      <c r="G113" s="197"/>
      <c r="J113" s="70">
        <v>224</v>
      </c>
    </row>
    <row r="114" spans="1:11" ht="35.15" hidden="1" customHeight="1">
      <c r="A114" s="144" t="s">
        <v>485</v>
      </c>
      <c r="B114" s="261" t="s">
        <v>223</v>
      </c>
      <c r="C114" s="261"/>
      <c r="D114" s="144" t="s">
        <v>583</v>
      </c>
      <c r="E114" s="144" t="s">
        <v>584</v>
      </c>
      <c r="F114" s="144" t="s">
        <v>585</v>
      </c>
      <c r="G114" s="197"/>
    </row>
    <row r="115" spans="1:11" ht="15" hidden="1" customHeight="1">
      <c r="A115" s="144">
        <v>1</v>
      </c>
      <c r="B115" s="261">
        <v>2</v>
      </c>
      <c r="C115" s="261"/>
      <c r="D115" s="144">
        <v>3</v>
      </c>
      <c r="E115" s="144">
        <v>4</v>
      </c>
      <c r="F115" s="144">
        <v>5</v>
      </c>
      <c r="G115" s="197"/>
    </row>
    <row r="116" spans="1:11" ht="15" hidden="1" customHeight="1">
      <c r="A116" s="144"/>
      <c r="B116" s="261"/>
      <c r="C116" s="261"/>
      <c r="D116" s="144"/>
      <c r="E116" s="144"/>
      <c r="F116" s="144"/>
      <c r="G116" s="197"/>
    </row>
    <row r="117" spans="1:11" ht="15" hidden="1" customHeight="1">
      <c r="A117" s="144"/>
      <c r="B117" s="261" t="s">
        <v>493</v>
      </c>
      <c r="C117" s="261"/>
      <c r="D117" s="144" t="s">
        <v>494</v>
      </c>
      <c r="E117" s="144" t="s">
        <v>494</v>
      </c>
      <c r="F117" s="144" t="s">
        <v>494</v>
      </c>
      <c r="G117" s="197"/>
    </row>
    <row r="118" spans="1:11" ht="16.5" customHeight="1">
      <c r="G118" s="197"/>
    </row>
    <row r="119" spans="1:11" ht="15.5">
      <c r="A119" s="273" t="s">
        <v>586</v>
      </c>
      <c r="B119" s="273"/>
      <c r="C119" s="273"/>
      <c r="D119" s="273"/>
      <c r="E119" s="273"/>
      <c r="F119" s="273"/>
      <c r="G119" s="273"/>
      <c r="J119" s="70">
        <v>225</v>
      </c>
    </row>
    <row r="120" spans="1:11" ht="15.5">
      <c r="A120" s="273" t="s">
        <v>587</v>
      </c>
      <c r="B120" s="273"/>
      <c r="C120" s="273"/>
      <c r="D120" s="273"/>
      <c r="E120" s="273"/>
      <c r="F120" s="273"/>
      <c r="G120" s="273"/>
    </row>
    <row r="121" spans="1:11" ht="15.5">
      <c r="A121" s="141"/>
      <c r="B121" s="141"/>
      <c r="C121" s="141"/>
      <c r="D121" s="141"/>
      <c r="E121" s="141"/>
      <c r="F121" s="141"/>
      <c r="G121" s="197"/>
    </row>
    <row r="122" spans="1:11" ht="23.25" customHeight="1">
      <c r="A122" s="270" t="s">
        <v>138</v>
      </c>
      <c r="B122" s="270"/>
      <c r="C122" s="270"/>
      <c r="D122" s="270"/>
      <c r="E122" s="270"/>
      <c r="F122" s="270"/>
      <c r="G122" s="270"/>
    </row>
    <row r="123" spans="1:11">
      <c r="G123" s="197"/>
    </row>
    <row r="124" spans="1:11" ht="39.75" customHeight="1">
      <c r="A124" s="144" t="s">
        <v>485</v>
      </c>
      <c r="B124" s="261" t="s">
        <v>497</v>
      </c>
      <c r="C124" s="261"/>
      <c r="D124" s="144" t="s">
        <v>588</v>
      </c>
      <c r="E124" s="144" t="s">
        <v>589</v>
      </c>
      <c r="F124" s="144" t="s">
        <v>191</v>
      </c>
      <c r="G124" s="144" t="s">
        <v>192</v>
      </c>
      <c r="K124" s="129" t="s">
        <v>73</v>
      </c>
    </row>
    <row r="125" spans="1:11" ht="15" customHeight="1">
      <c r="A125" s="144">
        <v>1</v>
      </c>
      <c r="B125" s="261">
        <v>2</v>
      </c>
      <c r="C125" s="261"/>
      <c r="D125" s="144">
        <v>3</v>
      </c>
      <c r="E125" s="144">
        <v>4</v>
      </c>
      <c r="F125" s="359">
        <v>5</v>
      </c>
      <c r="G125" s="360"/>
    </row>
    <row r="126" spans="1:11" s="93" customFormat="1" ht="45" customHeight="1">
      <c r="A126" s="142">
        <v>1</v>
      </c>
      <c r="B126" s="290" t="s">
        <v>81</v>
      </c>
      <c r="C126" s="290"/>
      <c r="D126" s="142" t="s">
        <v>80</v>
      </c>
      <c r="E126" s="142">
        <v>1</v>
      </c>
      <c r="F126" s="148">
        <v>599757.72</v>
      </c>
      <c r="G126" s="148">
        <f>F126</f>
        <v>599757.72</v>
      </c>
      <c r="H126" s="93">
        <f ca="1">'р.3 2017'!F112</f>
        <v>238221.31999999995</v>
      </c>
      <c r="I126" s="130">
        <f>F126-H126</f>
        <v>361536.4</v>
      </c>
    </row>
    <row r="127" spans="1:11" s="128" customFormat="1" ht="15" customHeight="1">
      <c r="A127" s="167"/>
      <c r="B127" s="319" t="s">
        <v>493</v>
      </c>
      <c r="C127" s="319"/>
      <c r="D127" s="167" t="s">
        <v>494</v>
      </c>
      <c r="E127" s="167" t="s">
        <v>494</v>
      </c>
      <c r="F127" s="174">
        <f>SUM(F126:F126)</f>
        <v>599757.72</v>
      </c>
      <c r="G127" s="174">
        <f>SUM(G126:G126)</f>
        <v>599757.72</v>
      </c>
      <c r="H127" s="128">
        <f ca="1">'р.3 2017'!D112</f>
        <v>238221.31999999995</v>
      </c>
      <c r="I127" s="130">
        <f>F127-H127</f>
        <v>361536.4</v>
      </c>
    </row>
    <row r="128" spans="1:11">
      <c r="G128" s="197"/>
    </row>
    <row r="129" spans="1:9" ht="33.75" customHeight="1">
      <c r="A129" s="270" t="s">
        <v>74</v>
      </c>
      <c r="B129" s="270"/>
      <c r="C129" s="270"/>
      <c r="D129" s="270"/>
      <c r="E129" s="270"/>
      <c r="F129" s="270"/>
      <c r="G129" s="270"/>
    </row>
    <row r="130" spans="1:9">
      <c r="G130" s="197"/>
    </row>
    <row r="131" spans="1:9" ht="42">
      <c r="A131" s="144" t="s">
        <v>485</v>
      </c>
      <c r="B131" s="261" t="s">
        <v>497</v>
      </c>
      <c r="C131" s="261"/>
      <c r="D131" s="144" t="s">
        <v>588</v>
      </c>
      <c r="E131" s="144" t="s">
        <v>589</v>
      </c>
      <c r="F131" s="144" t="s">
        <v>191</v>
      </c>
      <c r="G131" s="144" t="s">
        <v>192</v>
      </c>
    </row>
    <row r="132" spans="1:9">
      <c r="A132" s="144">
        <v>1</v>
      </c>
      <c r="B132" s="261">
        <v>2</v>
      </c>
      <c r="C132" s="261"/>
      <c r="D132" s="144">
        <v>3</v>
      </c>
      <c r="E132" s="144">
        <v>4</v>
      </c>
      <c r="F132" s="332">
        <v>5</v>
      </c>
      <c r="G132" s="332"/>
    </row>
    <row r="133" spans="1:9" ht="30" customHeight="1">
      <c r="A133" s="142">
        <v>1</v>
      </c>
      <c r="B133" s="290" t="s">
        <v>79</v>
      </c>
      <c r="C133" s="290"/>
      <c r="D133" s="142" t="s">
        <v>80</v>
      </c>
      <c r="E133" s="142">
        <v>1</v>
      </c>
      <c r="F133" s="148">
        <v>306300</v>
      </c>
      <c r="G133" s="148">
        <v>306300</v>
      </c>
    </row>
    <row r="134" spans="1:9">
      <c r="A134" s="167"/>
      <c r="B134" s="319" t="s">
        <v>493</v>
      </c>
      <c r="C134" s="319"/>
      <c r="D134" s="167" t="s">
        <v>494</v>
      </c>
      <c r="E134" s="167" t="s">
        <v>494</v>
      </c>
      <c r="F134" s="174">
        <f>SUM(F133:F133)</f>
        <v>306300</v>
      </c>
      <c r="G134" s="174">
        <f>SUM(G133:G133)</f>
        <v>306300</v>
      </c>
      <c r="H134" s="70">
        <f ca="1">'р.3 2017'!D113</f>
        <v>301750</v>
      </c>
      <c r="I134" s="94">
        <f>F134-H134</f>
        <v>4550</v>
      </c>
    </row>
    <row r="135" spans="1:9">
      <c r="A135" s="131"/>
      <c r="B135" s="132"/>
      <c r="C135" s="132"/>
      <c r="D135" s="131"/>
      <c r="E135" s="131"/>
      <c r="F135" s="133"/>
      <c r="G135" s="197"/>
    </row>
    <row r="136" spans="1:9" s="137" customFormat="1" ht="35.25" customHeight="1">
      <c r="A136" s="270" t="s">
        <v>75</v>
      </c>
      <c r="B136" s="270"/>
      <c r="C136" s="270"/>
      <c r="D136" s="270"/>
      <c r="E136" s="270"/>
      <c r="F136" s="270"/>
      <c r="G136" s="270"/>
    </row>
    <row r="137" spans="1:9" s="137" customFormat="1">
      <c r="A137" s="70"/>
      <c r="B137" s="70"/>
      <c r="C137" s="70"/>
      <c r="D137" s="70"/>
      <c r="E137" s="70"/>
      <c r="F137" s="70"/>
      <c r="G137" s="199"/>
    </row>
    <row r="138" spans="1:9" s="137" customFormat="1" ht="42">
      <c r="A138" s="144" t="s">
        <v>485</v>
      </c>
      <c r="B138" s="261" t="s">
        <v>497</v>
      </c>
      <c r="C138" s="261"/>
      <c r="D138" s="144" t="s">
        <v>588</v>
      </c>
      <c r="E138" s="144" t="s">
        <v>589</v>
      </c>
      <c r="F138" s="144" t="s">
        <v>191</v>
      </c>
      <c r="G138" s="144" t="s">
        <v>192</v>
      </c>
    </row>
    <row r="139" spans="1:9" s="137" customFormat="1">
      <c r="A139" s="144">
        <v>1</v>
      </c>
      <c r="B139" s="261">
        <v>2</v>
      </c>
      <c r="C139" s="261"/>
      <c r="D139" s="144">
        <v>3</v>
      </c>
      <c r="E139" s="144">
        <v>4</v>
      </c>
      <c r="F139" s="359">
        <v>5</v>
      </c>
      <c r="G139" s="360"/>
    </row>
    <row r="140" spans="1:9" s="137" customFormat="1" ht="49.5" customHeight="1">
      <c r="A140" s="144">
        <v>1</v>
      </c>
      <c r="B140" s="322" t="s">
        <v>85</v>
      </c>
      <c r="C140" s="323"/>
      <c r="D140" s="280" t="s">
        <v>76</v>
      </c>
      <c r="E140" s="142">
        <v>2</v>
      </c>
      <c r="F140" s="155">
        <f>ROUND(12716.62,0)</f>
        <v>12717</v>
      </c>
      <c r="G140" s="155">
        <f>F140</f>
        <v>12717</v>
      </c>
    </row>
    <row r="141" spans="1:9" s="138" customFormat="1" ht="46.5" customHeight="1">
      <c r="A141" s="163">
        <v>2</v>
      </c>
      <c r="B141" s="322" t="s">
        <v>78</v>
      </c>
      <c r="C141" s="323"/>
      <c r="D141" s="344"/>
      <c r="E141" s="142">
        <v>9.1999999999999993</v>
      </c>
      <c r="F141" s="148">
        <f>ROUND(3808.73*9.212,0)+1</f>
        <v>35087</v>
      </c>
      <c r="G141" s="155">
        <f>F141</f>
        <v>35087</v>
      </c>
      <c r="H141" s="147" t="s">
        <v>84</v>
      </c>
    </row>
    <row r="142" spans="1:9" s="138" customFormat="1" ht="44.25" customHeight="1">
      <c r="A142" s="163">
        <v>3</v>
      </c>
      <c r="B142" s="322" t="s">
        <v>82</v>
      </c>
      <c r="C142" s="323"/>
      <c r="D142" s="344"/>
      <c r="E142" s="142">
        <v>12</v>
      </c>
      <c r="F142" s="148">
        <f>ROUND((80.85+115.5)*12,0)</f>
        <v>2356</v>
      </c>
      <c r="G142" s="155">
        <f>F142</f>
        <v>2356</v>
      </c>
    </row>
    <row r="143" spans="1:9" s="138" customFormat="1" ht="44.25" customHeight="1">
      <c r="A143" s="163">
        <v>4</v>
      </c>
      <c r="B143" s="322" t="s">
        <v>83</v>
      </c>
      <c r="C143" s="323"/>
      <c r="D143" s="281"/>
      <c r="E143" s="142">
        <v>12</v>
      </c>
      <c r="F143" s="148">
        <f>ROUND((25.49+94.5)*12,0)</f>
        <v>1440</v>
      </c>
      <c r="G143" s="155">
        <f>F143</f>
        <v>1440</v>
      </c>
    </row>
    <row r="144" spans="1:9" s="137" customFormat="1">
      <c r="A144" s="167"/>
      <c r="B144" s="319" t="s">
        <v>493</v>
      </c>
      <c r="C144" s="319"/>
      <c r="D144" s="167" t="s">
        <v>494</v>
      </c>
      <c r="E144" s="167" t="s">
        <v>494</v>
      </c>
      <c r="F144" s="174">
        <f>SUM(F140:F143)</f>
        <v>51600</v>
      </c>
      <c r="G144" s="174">
        <f>SUM(G140:G143)</f>
        <v>51600</v>
      </c>
      <c r="H144" s="139">
        <f ca="1">'р.3 2017'!D114</f>
        <v>62217.34</v>
      </c>
      <c r="I144" s="139">
        <f>F144-H144</f>
        <v>-10617.339999999997</v>
      </c>
    </row>
    <row r="145" spans="1:10" s="137" customFormat="1">
      <c r="A145" s="134"/>
      <c r="B145" s="135"/>
      <c r="C145" s="135"/>
      <c r="D145" s="134"/>
      <c r="E145" s="134"/>
      <c r="F145" s="136"/>
      <c r="G145" s="199"/>
    </row>
    <row r="146" spans="1:10" s="137" customFormat="1" ht="20.25" customHeight="1">
      <c r="A146" s="270" t="s">
        <v>77</v>
      </c>
      <c r="B146" s="270"/>
      <c r="C146" s="270"/>
      <c r="D146" s="270"/>
      <c r="E146" s="270"/>
      <c r="F146" s="270"/>
      <c r="G146" s="270"/>
    </row>
    <row r="147" spans="1:10" s="137" customFormat="1" ht="8.25" customHeight="1">
      <c r="A147" s="70"/>
      <c r="B147" s="70"/>
      <c r="C147" s="70"/>
      <c r="D147" s="70"/>
      <c r="E147" s="70"/>
      <c r="F147" s="70"/>
      <c r="G147" s="199"/>
    </row>
    <row r="148" spans="1:10" s="137" customFormat="1" ht="42">
      <c r="A148" s="144" t="s">
        <v>485</v>
      </c>
      <c r="B148" s="261" t="s">
        <v>497</v>
      </c>
      <c r="C148" s="261"/>
      <c r="D148" s="144" t="s">
        <v>588</v>
      </c>
      <c r="E148" s="144" t="s">
        <v>589</v>
      </c>
      <c r="F148" s="144" t="s">
        <v>191</v>
      </c>
      <c r="G148" s="144" t="s">
        <v>192</v>
      </c>
    </row>
    <row r="149" spans="1:10" s="137" customFormat="1">
      <c r="A149" s="144">
        <v>1</v>
      </c>
      <c r="B149" s="261">
        <v>2</v>
      </c>
      <c r="C149" s="261"/>
      <c r="D149" s="144">
        <v>3</v>
      </c>
      <c r="E149" s="144">
        <v>4</v>
      </c>
      <c r="F149" s="332">
        <v>5</v>
      </c>
      <c r="G149" s="332"/>
    </row>
    <row r="150" spans="1:10" s="140" customFormat="1" ht="62.25" customHeight="1">
      <c r="A150" s="142">
        <v>1</v>
      </c>
      <c r="B150" s="337" t="s">
        <v>86</v>
      </c>
      <c r="C150" s="338"/>
      <c r="D150" s="280" t="s">
        <v>76</v>
      </c>
      <c r="E150" s="142">
        <v>12</v>
      </c>
      <c r="F150" s="171">
        <f>ROUND(2031.69*12,2)</f>
        <v>24380.28</v>
      </c>
      <c r="G150" s="171">
        <f>F150</f>
        <v>24380.28</v>
      </c>
    </row>
    <row r="151" spans="1:10" s="137" customFormat="1" ht="77.25" customHeight="1">
      <c r="A151" s="142">
        <v>2</v>
      </c>
      <c r="B151" s="339" t="s">
        <v>87</v>
      </c>
      <c r="C151" s="340"/>
      <c r="D151" s="281"/>
      <c r="E151" s="142">
        <v>12</v>
      </c>
      <c r="F151" s="148">
        <f>ROUND(727.08*12,2)</f>
        <v>8724.9599999999991</v>
      </c>
      <c r="G151" s="171">
        <f>F151</f>
        <v>8724.9599999999991</v>
      </c>
    </row>
    <row r="152" spans="1:10" s="140" customFormat="1" ht="19.5" customHeight="1">
      <c r="A152" s="142">
        <v>3</v>
      </c>
      <c r="B152" s="337" t="s">
        <v>119</v>
      </c>
      <c r="C152" s="338"/>
      <c r="D152" s="169"/>
      <c r="E152" s="142">
        <v>10</v>
      </c>
      <c r="F152" s="148">
        <v>4094.76</v>
      </c>
      <c r="G152" s="171">
        <f>F152</f>
        <v>4094.76</v>
      </c>
    </row>
    <row r="153" spans="1:10" s="137" customFormat="1">
      <c r="A153" s="167"/>
      <c r="B153" s="319" t="s">
        <v>493</v>
      </c>
      <c r="C153" s="319"/>
      <c r="D153" s="167" t="s">
        <v>494</v>
      </c>
      <c r="E153" s="167" t="s">
        <v>494</v>
      </c>
      <c r="F153" s="174">
        <f>SUM(F150:F152)</f>
        <v>37200</v>
      </c>
      <c r="G153" s="174">
        <f>SUM(G150:G152)</f>
        <v>37200</v>
      </c>
      <c r="H153" s="137">
        <f ca="1">'р.3 2017'!H116</f>
        <v>52200</v>
      </c>
      <c r="I153" s="139">
        <f>F153-H153</f>
        <v>-15000</v>
      </c>
    </row>
    <row r="154" spans="1:10" s="137" customFormat="1" ht="137.25" customHeight="1">
      <c r="A154" s="134"/>
      <c r="B154" s="135"/>
      <c r="C154" s="135"/>
      <c r="D154" s="134"/>
      <c r="E154" s="134"/>
      <c r="F154" s="136"/>
      <c r="G154" s="199"/>
    </row>
    <row r="155" spans="1:10" ht="19.5" customHeight="1">
      <c r="A155" s="270" t="s">
        <v>98</v>
      </c>
      <c r="B155" s="270"/>
      <c r="C155" s="270"/>
      <c r="D155" s="270"/>
      <c r="E155" s="270"/>
      <c r="F155" s="270"/>
      <c r="G155" s="270"/>
    </row>
    <row r="156" spans="1:10">
      <c r="G156" s="197"/>
      <c r="J156" s="70">
        <v>226</v>
      </c>
    </row>
    <row r="157" spans="1:10" ht="46.5" customHeight="1">
      <c r="A157" s="144" t="s">
        <v>485</v>
      </c>
      <c r="B157" s="261" t="s">
        <v>497</v>
      </c>
      <c r="C157" s="261"/>
      <c r="D157" s="144" t="s">
        <v>588</v>
      </c>
      <c r="E157" s="144" t="s">
        <v>589</v>
      </c>
      <c r="F157" s="144" t="s">
        <v>191</v>
      </c>
      <c r="G157" s="144" t="s">
        <v>192</v>
      </c>
    </row>
    <row r="158" spans="1:10" ht="15" customHeight="1">
      <c r="A158" s="144">
        <v>1</v>
      </c>
      <c r="B158" s="261">
        <v>2</v>
      </c>
      <c r="C158" s="261"/>
      <c r="D158" s="144">
        <v>3</v>
      </c>
      <c r="E158" s="144">
        <v>4</v>
      </c>
      <c r="F158" s="359">
        <v>5</v>
      </c>
      <c r="G158" s="360"/>
    </row>
    <row r="159" spans="1:10" ht="75.75" customHeight="1">
      <c r="A159" s="142">
        <v>1</v>
      </c>
      <c r="B159" s="337" t="s">
        <v>89</v>
      </c>
      <c r="C159" s="338"/>
      <c r="D159" s="175" t="s">
        <v>76</v>
      </c>
      <c r="E159" s="142">
        <v>12</v>
      </c>
      <c r="F159" s="148">
        <f>ROUND((1829+206)*12,2)</f>
        <v>24420</v>
      </c>
      <c r="G159" s="148">
        <f>F159</f>
        <v>24420</v>
      </c>
    </row>
    <row r="160" spans="1:10" ht="74.25" customHeight="1">
      <c r="A160" s="163">
        <v>2</v>
      </c>
      <c r="B160" s="337" t="s">
        <v>91</v>
      </c>
      <c r="C160" s="338"/>
      <c r="D160" s="159" t="s">
        <v>90</v>
      </c>
      <c r="E160" s="142">
        <v>12</v>
      </c>
      <c r="F160" s="148">
        <f>ROUND((3514.17+1),0)*12</f>
        <v>42180</v>
      </c>
      <c r="G160" s="148">
        <f>F160</f>
        <v>42180</v>
      </c>
    </row>
    <row r="161" spans="1:10" ht="15" customHeight="1">
      <c r="A161" s="167"/>
      <c r="B161" s="319" t="s">
        <v>493</v>
      </c>
      <c r="C161" s="319"/>
      <c r="D161" s="167" t="s">
        <v>494</v>
      </c>
      <c r="E161" s="167" t="s">
        <v>494</v>
      </c>
      <c r="F161" s="174">
        <f>SUM(F159:F160)</f>
        <v>66600</v>
      </c>
      <c r="G161" s="174">
        <f>SUM(G159:G160)</f>
        <v>66600</v>
      </c>
      <c r="H161" s="70">
        <f ca="1">'р.3 2017'!J116</f>
        <v>66589.7</v>
      </c>
      <c r="I161" s="94">
        <f>F161-H161</f>
        <v>10.30000000000291</v>
      </c>
    </row>
    <row r="162" spans="1:10">
      <c r="A162" s="134"/>
      <c r="B162" s="135"/>
      <c r="C162" s="135"/>
      <c r="D162" s="134"/>
      <c r="E162" s="134"/>
      <c r="F162" s="136"/>
      <c r="G162" s="197"/>
    </row>
    <row r="163" spans="1:10">
      <c r="A163" s="134"/>
      <c r="B163" s="135"/>
      <c r="C163" s="135"/>
      <c r="D163" s="134"/>
      <c r="E163" s="134"/>
      <c r="F163" s="136"/>
      <c r="G163" s="197"/>
      <c r="J163" s="70">
        <v>310.33999999999997</v>
      </c>
    </row>
    <row r="164" spans="1:10" ht="15.5">
      <c r="A164" s="343" t="s">
        <v>591</v>
      </c>
      <c r="B164" s="343"/>
      <c r="C164" s="343"/>
      <c r="D164" s="343"/>
      <c r="E164" s="343"/>
      <c r="F164" s="343"/>
      <c r="G164" s="343"/>
    </row>
    <row r="165" spans="1:10" ht="15.5">
      <c r="A165" s="145"/>
      <c r="B165" s="145"/>
      <c r="C165" s="145"/>
      <c r="D165" s="145"/>
      <c r="E165" s="145"/>
      <c r="F165" s="145"/>
      <c r="G165" s="197"/>
    </row>
    <row r="166" spans="1:10" ht="47.25" customHeight="1">
      <c r="A166" s="358" t="s">
        <v>92</v>
      </c>
      <c r="B166" s="358"/>
      <c r="C166" s="358"/>
      <c r="D166" s="358"/>
      <c r="E166" s="358"/>
      <c r="F166" s="358"/>
      <c r="G166" s="358"/>
    </row>
    <row r="167" spans="1:10" ht="16.5" customHeight="1">
      <c r="A167" s="358" t="s">
        <v>96</v>
      </c>
      <c r="B167" s="358"/>
      <c r="C167" s="358"/>
      <c r="D167" s="358"/>
      <c r="E167" s="358"/>
      <c r="F167" s="358"/>
      <c r="G167" s="358"/>
    </row>
    <row r="168" spans="1:10" ht="27.75" customHeight="1">
      <c r="A168" s="144" t="s">
        <v>485</v>
      </c>
      <c r="B168" s="261" t="s">
        <v>497</v>
      </c>
      <c r="C168" s="261"/>
      <c r="D168" s="261"/>
      <c r="E168" s="144" t="s">
        <v>592</v>
      </c>
      <c r="F168" s="144" t="s">
        <v>193</v>
      </c>
      <c r="G168" s="144" t="s">
        <v>194</v>
      </c>
    </row>
    <row r="169" spans="1:10" ht="15" customHeight="1">
      <c r="A169" s="144">
        <v>1</v>
      </c>
      <c r="B169" s="261">
        <v>2</v>
      </c>
      <c r="C169" s="261"/>
      <c r="D169" s="261"/>
      <c r="E169" s="144">
        <v>3</v>
      </c>
      <c r="F169" s="309">
        <v>4</v>
      </c>
      <c r="G169" s="311"/>
    </row>
    <row r="170" spans="1:10" ht="15" customHeight="1">
      <c r="A170" s="144">
        <v>1</v>
      </c>
      <c r="B170" s="261" t="s">
        <v>93</v>
      </c>
      <c r="C170" s="261"/>
      <c r="D170" s="261"/>
      <c r="E170" s="144">
        <v>1</v>
      </c>
      <c r="F170" s="204">
        <v>13900</v>
      </c>
      <c r="G170" s="204">
        <f>F170</f>
        <v>13900</v>
      </c>
    </row>
    <row r="171" spans="1:10" s="128" customFormat="1" ht="15" customHeight="1">
      <c r="A171" s="167"/>
      <c r="B171" s="319" t="s">
        <v>493</v>
      </c>
      <c r="C171" s="319"/>
      <c r="D171" s="319"/>
      <c r="E171" s="167" t="s">
        <v>494</v>
      </c>
      <c r="F171" s="174">
        <f>SUM(F170)</f>
        <v>13900</v>
      </c>
      <c r="G171" s="174">
        <f>SUM(G170)</f>
        <v>13900</v>
      </c>
      <c r="H171" s="128">
        <f ca="1">'р.3 2017'!D117</f>
        <v>5564.2199999999993</v>
      </c>
      <c r="I171" s="162">
        <f>H171-F171</f>
        <v>-8335.7800000000007</v>
      </c>
    </row>
    <row r="172" spans="1:10">
      <c r="G172" s="197"/>
    </row>
    <row r="173" spans="1:10" ht="37.5" customHeight="1">
      <c r="A173" s="358" t="s">
        <v>94</v>
      </c>
      <c r="B173" s="358"/>
      <c r="C173" s="358"/>
      <c r="D173" s="358"/>
      <c r="E173" s="358"/>
      <c r="F173" s="358"/>
      <c r="G173" s="358"/>
    </row>
    <row r="174" spans="1:10" ht="17.25" customHeight="1">
      <c r="A174" s="358" t="s">
        <v>97</v>
      </c>
      <c r="B174" s="358"/>
      <c r="C174" s="358"/>
      <c r="D174" s="358"/>
      <c r="E174" s="358"/>
      <c r="F174" s="358"/>
      <c r="G174" s="358"/>
    </row>
    <row r="175" spans="1:10" ht="30.75" customHeight="1">
      <c r="A175" s="144" t="s">
        <v>485</v>
      </c>
      <c r="B175" s="261" t="s">
        <v>497</v>
      </c>
      <c r="C175" s="261"/>
      <c r="D175" s="261"/>
      <c r="E175" s="144" t="s">
        <v>592</v>
      </c>
      <c r="F175" s="144" t="s">
        <v>193</v>
      </c>
      <c r="G175" s="144" t="s">
        <v>194</v>
      </c>
    </row>
    <row r="176" spans="1:10">
      <c r="A176" s="144">
        <v>1</v>
      </c>
      <c r="B176" s="261">
        <v>2</v>
      </c>
      <c r="C176" s="261"/>
      <c r="D176" s="261"/>
      <c r="E176" s="144">
        <v>3</v>
      </c>
      <c r="F176" s="309">
        <v>4</v>
      </c>
      <c r="G176" s="311"/>
    </row>
    <row r="177" spans="1:9" ht="32.25" customHeight="1">
      <c r="A177" s="144">
        <v>1</v>
      </c>
      <c r="B177" s="274" t="s">
        <v>95</v>
      </c>
      <c r="C177" s="275"/>
      <c r="D177" s="276"/>
      <c r="E177" s="144">
        <v>1</v>
      </c>
      <c r="F177" s="204">
        <f>ROUND(8266.66*12,0)</f>
        <v>99200</v>
      </c>
      <c r="G177" s="204">
        <f>F177</f>
        <v>99200</v>
      </c>
    </row>
    <row r="178" spans="1:9" s="128" customFormat="1">
      <c r="A178" s="167"/>
      <c r="B178" s="319" t="s">
        <v>493</v>
      </c>
      <c r="C178" s="319"/>
      <c r="D178" s="319"/>
      <c r="E178" s="167" t="s">
        <v>494</v>
      </c>
      <c r="F178" s="174">
        <f>SUM(F177)</f>
        <v>99200</v>
      </c>
      <c r="G178" s="174">
        <f>SUM(G177)</f>
        <v>99200</v>
      </c>
      <c r="H178" s="128">
        <f ca="1">'р.3 2017'!D119</f>
        <v>112614</v>
      </c>
      <c r="I178" s="162">
        <f>F178-H178</f>
        <v>-13414</v>
      </c>
    </row>
    <row r="179" spans="1:9">
      <c r="G179" s="197"/>
    </row>
    <row r="180" spans="1:9" ht="35.25" customHeight="1">
      <c r="A180" s="358" t="s">
        <v>107</v>
      </c>
      <c r="B180" s="358"/>
      <c r="C180" s="358"/>
      <c r="D180" s="358"/>
      <c r="E180" s="358"/>
      <c r="F180" s="358"/>
      <c r="G180" s="358"/>
    </row>
    <row r="181" spans="1:9" ht="15.75" customHeight="1">
      <c r="A181" s="321" t="s">
        <v>99</v>
      </c>
      <c r="B181" s="321"/>
      <c r="C181" s="321"/>
      <c r="D181" s="321"/>
      <c r="E181" s="321"/>
      <c r="F181" s="321"/>
      <c r="G181" s="321"/>
    </row>
    <row r="182" spans="1:9" ht="30.75" customHeight="1">
      <c r="A182" s="144" t="s">
        <v>485</v>
      </c>
      <c r="B182" s="261" t="s">
        <v>497</v>
      </c>
      <c r="C182" s="261"/>
      <c r="D182" s="261"/>
      <c r="E182" s="144" t="s">
        <v>592</v>
      </c>
      <c r="F182" s="144" t="s">
        <v>193</v>
      </c>
      <c r="G182" s="144" t="s">
        <v>194</v>
      </c>
    </row>
    <row r="183" spans="1:9">
      <c r="A183" s="144">
        <v>1</v>
      </c>
      <c r="B183" s="261">
        <v>2</v>
      </c>
      <c r="C183" s="261"/>
      <c r="D183" s="261"/>
      <c r="E183" s="144">
        <v>3</v>
      </c>
      <c r="F183" s="309">
        <v>4</v>
      </c>
      <c r="G183" s="311"/>
    </row>
    <row r="184" spans="1:9" ht="31.5" customHeight="1">
      <c r="A184" s="144">
        <v>1</v>
      </c>
      <c r="B184" s="274" t="s">
        <v>102</v>
      </c>
      <c r="C184" s="275"/>
      <c r="D184" s="276"/>
      <c r="E184" s="144">
        <v>1</v>
      </c>
      <c r="F184" s="204">
        <v>36800</v>
      </c>
      <c r="G184" s="204">
        <f>F184</f>
        <v>36800</v>
      </c>
    </row>
    <row r="185" spans="1:9" s="128" customFormat="1">
      <c r="A185" s="167"/>
      <c r="B185" s="319" t="s">
        <v>493</v>
      </c>
      <c r="C185" s="319"/>
      <c r="D185" s="319"/>
      <c r="E185" s="167" t="s">
        <v>494</v>
      </c>
      <c r="F185" s="174">
        <f>SUM(F184)</f>
        <v>36800</v>
      </c>
      <c r="G185" s="174">
        <f>SUM(G184)</f>
        <v>36800</v>
      </c>
      <c r="H185" s="128">
        <f ca="1">'р.3 2017'!D121</f>
        <v>24398.760000000002</v>
      </c>
      <c r="I185" s="128">
        <f>F185-H185</f>
        <v>12401.239999999998</v>
      </c>
    </row>
    <row r="186" spans="1:9">
      <c r="A186" s="95"/>
      <c r="B186" s="156"/>
      <c r="C186" s="156"/>
      <c r="D186" s="156"/>
      <c r="E186" s="95"/>
      <c r="F186" s="176"/>
      <c r="G186" s="197"/>
    </row>
    <row r="187" spans="1:9" ht="21.75" customHeight="1">
      <c r="A187" s="196" t="s">
        <v>106</v>
      </c>
      <c r="B187" s="196"/>
      <c r="C187" s="196"/>
      <c r="D187" s="196"/>
      <c r="E187" s="196"/>
      <c r="F187" s="196"/>
      <c r="G187" s="205"/>
    </row>
    <row r="188" spans="1:9" ht="15.75" customHeight="1">
      <c r="A188" s="321" t="s">
        <v>103</v>
      </c>
      <c r="B188" s="321"/>
      <c r="C188" s="321"/>
      <c r="D188" s="321"/>
      <c r="E188" s="321"/>
      <c r="F188" s="321"/>
      <c r="G188" s="321"/>
    </row>
    <row r="189" spans="1:9" ht="30" customHeight="1">
      <c r="A189" s="144" t="s">
        <v>485</v>
      </c>
      <c r="B189" s="261" t="s">
        <v>497</v>
      </c>
      <c r="C189" s="261"/>
      <c r="D189" s="261"/>
      <c r="E189" s="144" t="s">
        <v>592</v>
      </c>
      <c r="F189" s="144" t="s">
        <v>193</v>
      </c>
      <c r="G189" s="144" t="s">
        <v>194</v>
      </c>
    </row>
    <row r="190" spans="1:9">
      <c r="A190" s="144">
        <v>1</v>
      </c>
      <c r="B190" s="261">
        <v>2</v>
      </c>
      <c r="C190" s="261"/>
      <c r="D190" s="261"/>
      <c r="E190" s="144">
        <v>3</v>
      </c>
      <c r="F190" s="332">
        <v>4</v>
      </c>
      <c r="G190" s="332"/>
    </row>
    <row r="191" spans="1:9" ht="31.5" customHeight="1">
      <c r="A191" s="144">
        <v>1</v>
      </c>
      <c r="B191" s="274" t="s">
        <v>104</v>
      </c>
      <c r="C191" s="275"/>
      <c r="D191" s="276"/>
      <c r="E191" s="144">
        <v>1</v>
      </c>
      <c r="F191" s="204">
        <v>15000</v>
      </c>
      <c r="G191" s="204">
        <f>F191</f>
        <v>15000</v>
      </c>
    </row>
    <row r="192" spans="1:9" s="128" customFormat="1">
      <c r="A192" s="167"/>
      <c r="B192" s="319" t="s">
        <v>493</v>
      </c>
      <c r="C192" s="319"/>
      <c r="D192" s="319"/>
      <c r="E192" s="167" t="s">
        <v>494</v>
      </c>
      <c r="F192" s="174">
        <f>SUM(F191)</f>
        <v>15000</v>
      </c>
      <c r="G192" s="174">
        <f>SUM(G191)</f>
        <v>15000</v>
      </c>
      <c r="H192" s="128">
        <f ca="1">'р.3 2017'!D122</f>
        <v>13315.98</v>
      </c>
      <c r="I192" s="128">
        <f>F192-H192</f>
        <v>1684.0200000000004</v>
      </c>
    </row>
    <row r="193" spans="1:9">
      <c r="A193" s="95"/>
      <c r="B193" s="156"/>
      <c r="C193" s="156"/>
      <c r="D193" s="156"/>
      <c r="E193" s="95"/>
      <c r="F193" s="176"/>
      <c r="G193" s="197"/>
    </row>
    <row r="194" spans="1:9" ht="33" customHeight="1">
      <c r="A194" s="358" t="s">
        <v>113</v>
      </c>
      <c r="B194" s="358"/>
      <c r="C194" s="358"/>
      <c r="D194" s="358"/>
      <c r="E194" s="358"/>
      <c r="F194" s="358"/>
      <c r="G194" s="358"/>
    </row>
    <row r="195" spans="1:9" ht="17.25" customHeight="1">
      <c r="A195" s="358" t="s">
        <v>105</v>
      </c>
      <c r="B195" s="358"/>
      <c r="C195" s="358"/>
      <c r="D195" s="358"/>
      <c r="E195" s="358"/>
      <c r="F195" s="358"/>
      <c r="G195" s="358"/>
    </row>
    <row r="196" spans="1:9" ht="31.5" customHeight="1">
      <c r="A196" s="144" t="s">
        <v>485</v>
      </c>
      <c r="B196" s="261" t="s">
        <v>497</v>
      </c>
      <c r="C196" s="261"/>
      <c r="D196" s="261"/>
      <c r="E196" s="144" t="s">
        <v>592</v>
      </c>
      <c r="F196" s="144" t="s">
        <v>193</v>
      </c>
      <c r="G196" s="144" t="s">
        <v>194</v>
      </c>
    </row>
    <row r="197" spans="1:9">
      <c r="A197" s="144">
        <v>1</v>
      </c>
      <c r="B197" s="261">
        <v>2</v>
      </c>
      <c r="C197" s="261"/>
      <c r="D197" s="261"/>
      <c r="E197" s="144">
        <v>3</v>
      </c>
      <c r="F197" s="309">
        <v>4</v>
      </c>
      <c r="G197" s="311"/>
    </row>
    <row r="198" spans="1:9">
      <c r="A198" s="144">
        <v>1</v>
      </c>
      <c r="B198" s="274" t="s">
        <v>108</v>
      </c>
      <c r="C198" s="275"/>
      <c r="D198" s="276"/>
      <c r="E198" s="144">
        <v>2</v>
      </c>
      <c r="F198" s="204">
        <f>12000*2</f>
        <v>24000</v>
      </c>
      <c r="G198" s="204">
        <f>F198</f>
        <v>24000</v>
      </c>
    </row>
    <row r="199" spans="1:9" s="128" customFormat="1">
      <c r="A199" s="167"/>
      <c r="B199" s="319" t="s">
        <v>493</v>
      </c>
      <c r="C199" s="319"/>
      <c r="D199" s="319"/>
      <c r="E199" s="167" t="s">
        <v>494</v>
      </c>
      <c r="F199" s="174">
        <f>SUM(F198)</f>
        <v>24000</v>
      </c>
      <c r="G199" s="174">
        <f>SUM(G198)</f>
        <v>24000</v>
      </c>
      <c r="H199" s="128">
        <f ca="1">'р.3 2017'!D124</f>
        <v>6600</v>
      </c>
      <c r="I199" s="162">
        <f>F199-H199</f>
        <v>17400</v>
      </c>
    </row>
    <row r="200" spans="1:9" ht="45.75" customHeight="1">
      <c r="A200" s="95"/>
      <c r="B200" s="156"/>
      <c r="C200" s="156"/>
      <c r="D200" s="156"/>
      <c r="E200" s="95"/>
      <c r="F200" s="176"/>
      <c r="G200" s="197"/>
      <c r="I200" s="94"/>
    </row>
    <row r="201" spans="1:9" ht="15.75" customHeight="1">
      <c r="A201" s="358" t="s">
        <v>112</v>
      </c>
      <c r="B201" s="358"/>
      <c r="C201" s="358"/>
      <c r="D201" s="358"/>
      <c r="E201" s="358"/>
      <c r="F201" s="358"/>
      <c r="G201" s="358"/>
      <c r="I201" s="94"/>
    </row>
    <row r="202" spans="1:9" ht="15.75" customHeight="1">
      <c r="A202" s="358" t="s">
        <v>109</v>
      </c>
      <c r="B202" s="358"/>
      <c r="C202" s="358"/>
      <c r="D202" s="358"/>
      <c r="E202" s="358"/>
      <c r="F202" s="358"/>
      <c r="G202" s="358"/>
      <c r="I202" s="94"/>
    </row>
    <row r="203" spans="1:9" ht="30.75" customHeight="1">
      <c r="A203" s="144" t="s">
        <v>485</v>
      </c>
      <c r="B203" s="261" t="s">
        <v>497</v>
      </c>
      <c r="C203" s="261"/>
      <c r="D203" s="261"/>
      <c r="E203" s="144" t="s">
        <v>592</v>
      </c>
      <c r="F203" s="144" t="s">
        <v>193</v>
      </c>
      <c r="G203" s="144" t="s">
        <v>194</v>
      </c>
      <c r="I203" s="94"/>
    </row>
    <row r="204" spans="1:9">
      <c r="A204" s="144">
        <v>1</v>
      </c>
      <c r="B204" s="261">
        <v>2</v>
      </c>
      <c r="C204" s="261"/>
      <c r="D204" s="261"/>
      <c r="E204" s="144">
        <v>3</v>
      </c>
      <c r="F204" s="309">
        <v>4</v>
      </c>
      <c r="G204" s="311"/>
      <c r="I204" s="94"/>
    </row>
    <row r="205" spans="1:9">
      <c r="A205" s="144">
        <v>1</v>
      </c>
      <c r="B205" s="274" t="s">
        <v>111</v>
      </c>
      <c r="C205" s="275"/>
      <c r="D205" s="276"/>
      <c r="E205" s="144">
        <v>1</v>
      </c>
      <c r="F205" s="170">
        <v>60000</v>
      </c>
      <c r="G205" s="170">
        <v>60000</v>
      </c>
      <c r="I205" s="94"/>
    </row>
    <row r="206" spans="1:9">
      <c r="A206" s="144">
        <v>1</v>
      </c>
      <c r="B206" s="274" t="s">
        <v>110</v>
      </c>
      <c r="C206" s="275"/>
      <c r="D206" s="276"/>
      <c r="E206" s="144">
        <v>1</v>
      </c>
      <c r="F206" s="127">
        <v>22300</v>
      </c>
      <c r="G206" s="127">
        <v>22300</v>
      </c>
      <c r="I206" s="94"/>
    </row>
    <row r="207" spans="1:9" s="128" customFormat="1">
      <c r="A207" s="167"/>
      <c r="B207" s="319" t="s">
        <v>493</v>
      </c>
      <c r="C207" s="319"/>
      <c r="D207" s="319"/>
      <c r="E207" s="167" t="s">
        <v>494</v>
      </c>
      <c r="F207" s="174">
        <f>SUM(F205:F206)</f>
        <v>82300</v>
      </c>
      <c r="G207" s="174">
        <f>SUM(G205:G206)</f>
        <v>82300</v>
      </c>
      <c r="H207" s="128">
        <f ca="1">'р.3 2017'!F125</f>
        <v>74719.13</v>
      </c>
      <c r="I207" s="162">
        <f>F207-H207</f>
        <v>7580.8699999999953</v>
      </c>
    </row>
    <row r="208" spans="1:9">
      <c r="A208" s="95"/>
      <c r="B208" s="156"/>
      <c r="C208" s="156"/>
      <c r="D208" s="156"/>
      <c r="E208" s="95"/>
      <c r="F208" s="176"/>
      <c r="G208" s="197"/>
      <c r="I208" s="94"/>
    </row>
    <row r="209" spans="1:9" ht="15.75" customHeight="1">
      <c r="A209" s="358" t="s">
        <v>114</v>
      </c>
      <c r="B209" s="358"/>
      <c r="C209" s="358"/>
      <c r="D209" s="358"/>
      <c r="E209" s="358"/>
      <c r="F209" s="358"/>
      <c r="G209" s="358"/>
      <c r="I209" s="94"/>
    </row>
    <row r="210" spans="1:9" ht="15.75" customHeight="1">
      <c r="A210" s="358" t="s">
        <v>115</v>
      </c>
      <c r="B210" s="358"/>
      <c r="C210" s="358"/>
      <c r="D210" s="358"/>
      <c r="E210" s="358"/>
      <c r="F210" s="358"/>
      <c r="G210" s="358"/>
      <c r="I210" s="94"/>
    </row>
    <row r="211" spans="1:9" ht="28">
      <c r="A211" s="144" t="s">
        <v>485</v>
      </c>
      <c r="B211" s="261" t="s">
        <v>497</v>
      </c>
      <c r="C211" s="261"/>
      <c r="D211" s="261"/>
      <c r="E211" s="144" t="s">
        <v>592</v>
      </c>
      <c r="F211" s="144" t="s">
        <v>193</v>
      </c>
      <c r="G211" s="144" t="s">
        <v>194</v>
      </c>
      <c r="I211" s="94"/>
    </row>
    <row r="212" spans="1:9">
      <c r="A212" s="144">
        <v>1</v>
      </c>
      <c r="B212" s="261">
        <v>2</v>
      </c>
      <c r="C212" s="261"/>
      <c r="D212" s="261"/>
      <c r="E212" s="144">
        <v>3</v>
      </c>
      <c r="F212" s="309">
        <v>4</v>
      </c>
      <c r="G212" s="311"/>
      <c r="I212" s="94"/>
    </row>
    <row r="213" spans="1:9">
      <c r="A213" s="144">
        <v>1</v>
      </c>
      <c r="B213" s="274" t="s">
        <v>116</v>
      </c>
      <c r="C213" s="275"/>
      <c r="D213" s="276"/>
      <c r="E213" s="144">
        <v>1</v>
      </c>
      <c r="F213" s="127">
        <v>115000</v>
      </c>
      <c r="G213" s="127">
        <v>115001</v>
      </c>
      <c r="I213" s="94"/>
    </row>
    <row r="214" spans="1:9" s="128" customFormat="1">
      <c r="A214" s="167"/>
      <c r="B214" s="319" t="s">
        <v>493</v>
      </c>
      <c r="C214" s="319"/>
      <c r="D214" s="319"/>
      <c r="E214" s="167" t="s">
        <v>494</v>
      </c>
      <c r="F214" s="174">
        <f>SUM(F213:F213)</f>
        <v>115000</v>
      </c>
      <c r="G214" s="174">
        <f>SUM(G213:G213)</f>
        <v>115001</v>
      </c>
      <c r="H214" s="128">
        <f ca="1">'р.3 2017'!H125</f>
        <v>115000</v>
      </c>
      <c r="I214" s="162">
        <f>H214-F214</f>
        <v>0</v>
      </c>
    </row>
    <row r="215" spans="1:9">
      <c r="A215" s="95"/>
      <c r="B215" s="156"/>
      <c r="C215" s="156"/>
      <c r="D215" s="156"/>
      <c r="E215" s="95"/>
      <c r="F215" s="176"/>
      <c r="G215" s="197"/>
    </row>
    <row r="216" spans="1:9" ht="15.5">
      <c r="A216" s="273" t="s">
        <v>594</v>
      </c>
      <c r="B216" s="273"/>
      <c r="C216" s="273"/>
      <c r="D216" s="273"/>
      <c r="E216" s="273"/>
      <c r="F216" s="273"/>
      <c r="G216" s="273"/>
    </row>
    <row r="217" spans="1:9" ht="15.5">
      <c r="A217" s="273" t="s">
        <v>595</v>
      </c>
      <c r="B217" s="273"/>
      <c r="C217" s="273"/>
      <c r="D217" s="273"/>
      <c r="E217" s="273"/>
      <c r="F217" s="273"/>
      <c r="G217" s="273"/>
    </row>
    <row r="218" spans="1:9">
      <c r="G218" s="197"/>
    </row>
    <row r="219" spans="1:9" ht="28">
      <c r="A219" s="144" t="s">
        <v>485</v>
      </c>
      <c r="B219" s="261" t="s">
        <v>497</v>
      </c>
      <c r="C219" s="261"/>
      <c r="D219" s="144" t="s">
        <v>583</v>
      </c>
      <c r="E219" s="144" t="s">
        <v>596</v>
      </c>
      <c r="F219" s="144" t="s">
        <v>195</v>
      </c>
      <c r="G219" s="144" t="s">
        <v>196</v>
      </c>
    </row>
    <row r="220" spans="1:9">
      <c r="A220" s="144" t="s">
        <v>598</v>
      </c>
      <c r="B220" s="261">
        <v>1</v>
      </c>
      <c r="C220" s="261"/>
      <c r="D220" s="144">
        <v>2</v>
      </c>
      <c r="E220" s="144">
        <v>3</v>
      </c>
      <c r="F220" s="359">
        <v>4</v>
      </c>
      <c r="G220" s="360"/>
    </row>
    <row r="221" spans="1:9">
      <c r="A221" s="144">
        <v>1</v>
      </c>
      <c r="B221" s="290" t="s">
        <v>118</v>
      </c>
      <c r="C221" s="290"/>
      <c r="D221" s="144">
        <v>6</v>
      </c>
      <c r="E221" s="127">
        <v>1500</v>
      </c>
      <c r="F221" s="127">
        <f>D221*E221</f>
        <v>9000</v>
      </c>
      <c r="G221" s="127">
        <f>F221</f>
        <v>9000</v>
      </c>
    </row>
    <row r="222" spans="1:9" s="93" customFormat="1" ht="16.5" customHeight="1">
      <c r="A222" s="142">
        <v>2</v>
      </c>
      <c r="B222" s="290" t="s">
        <v>117</v>
      </c>
      <c r="C222" s="290"/>
      <c r="D222" s="142">
        <v>10</v>
      </c>
      <c r="E222" s="148">
        <v>2600</v>
      </c>
      <c r="F222" s="127">
        <f>D222*E222</f>
        <v>26000</v>
      </c>
      <c r="G222" s="127">
        <f>F222</f>
        <v>26000</v>
      </c>
    </row>
    <row r="223" spans="1:9" s="128" customFormat="1">
      <c r="A223" s="167"/>
      <c r="B223" s="319" t="s">
        <v>493</v>
      </c>
      <c r="C223" s="319"/>
      <c r="D223" s="167"/>
      <c r="E223" s="167" t="s">
        <v>494</v>
      </c>
      <c r="F223" s="174">
        <f>SUM(F221:F222)</f>
        <v>35000</v>
      </c>
      <c r="G223" s="174">
        <f>SUM(G221:G222)</f>
        <v>35000</v>
      </c>
      <c r="H223" s="128">
        <f ca="1">'р.3 2017'!D135</f>
        <v>86786.670000000013</v>
      </c>
      <c r="I223" s="128">
        <f>F223-H223</f>
        <v>-51786.670000000013</v>
      </c>
    </row>
    <row r="225" spans="1:6">
      <c r="A225" s="361" t="s">
        <v>599</v>
      </c>
      <c r="B225" s="361"/>
      <c r="C225" s="361"/>
      <c r="D225" s="361"/>
      <c r="E225" s="361"/>
      <c r="F225" s="361"/>
    </row>
  </sheetData>
  <mergeCells count="161">
    <mergeCell ref="B221:C221"/>
    <mergeCell ref="B222:C222"/>
    <mergeCell ref="B223:C223"/>
    <mergeCell ref="A225:F225"/>
    <mergeCell ref="A209:G209"/>
    <mergeCell ref="A210:G210"/>
    <mergeCell ref="B219:C219"/>
    <mergeCell ref="B220:C220"/>
    <mergeCell ref="B211:D211"/>
    <mergeCell ref="B212:D212"/>
    <mergeCell ref="A217:G217"/>
    <mergeCell ref="F220:G220"/>
    <mergeCell ref="B204:D204"/>
    <mergeCell ref="B205:D205"/>
    <mergeCell ref="B206:D206"/>
    <mergeCell ref="B207:D207"/>
    <mergeCell ref="B213:D213"/>
    <mergeCell ref="B214:D214"/>
    <mergeCell ref="F212:G212"/>
    <mergeCell ref="A216:G216"/>
    <mergeCell ref="A202:G202"/>
    <mergeCell ref="F204:G204"/>
    <mergeCell ref="B197:D197"/>
    <mergeCell ref="B198:D198"/>
    <mergeCell ref="B199:D199"/>
    <mergeCell ref="B203:D203"/>
    <mergeCell ref="B190:D190"/>
    <mergeCell ref="B191:D191"/>
    <mergeCell ref="B192:D192"/>
    <mergeCell ref="B196:D196"/>
    <mergeCell ref="F197:G197"/>
    <mergeCell ref="A201:G201"/>
    <mergeCell ref="A181:G181"/>
    <mergeCell ref="F183:G183"/>
    <mergeCell ref="F190:G190"/>
    <mergeCell ref="A188:G188"/>
    <mergeCell ref="A195:G195"/>
    <mergeCell ref="A194:G194"/>
    <mergeCell ref="B183:D183"/>
    <mergeCell ref="B184:D184"/>
    <mergeCell ref="B185:D185"/>
    <mergeCell ref="B189:D189"/>
    <mergeCell ref="F176:G176"/>
    <mergeCell ref="B176:D176"/>
    <mergeCell ref="B177:D177"/>
    <mergeCell ref="B178:D178"/>
    <mergeCell ref="B182:D182"/>
    <mergeCell ref="B169:D169"/>
    <mergeCell ref="B170:D170"/>
    <mergeCell ref="B171:D171"/>
    <mergeCell ref="B175:D175"/>
    <mergeCell ref="A180:G180"/>
    <mergeCell ref="B148:C148"/>
    <mergeCell ref="B149:C149"/>
    <mergeCell ref="B150:C150"/>
    <mergeCell ref="F169:G169"/>
    <mergeCell ref="A173:G173"/>
    <mergeCell ref="A174:G174"/>
    <mergeCell ref="B168:D168"/>
    <mergeCell ref="B152:C152"/>
    <mergeCell ref="B153:C153"/>
    <mergeCell ref="B157:C157"/>
    <mergeCell ref="B158:C158"/>
    <mergeCell ref="B159:C159"/>
    <mergeCell ref="A155:G155"/>
    <mergeCell ref="F158:G158"/>
    <mergeCell ref="A167:G167"/>
    <mergeCell ref="D140:D143"/>
    <mergeCell ref="B141:C141"/>
    <mergeCell ref="B142:C142"/>
    <mergeCell ref="B143:C143"/>
    <mergeCell ref="B160:C160"/>
    <mergeCell ref="B161:C161"/>
    <mergeCell ref="D150:D151"/>
    <mergeCell ref="B151:C151"/>
    <mergeCell ref="B140:C140"/>
    <mergeCell ref="B126:C126"/>
    <mergeCell ref="B127:C127"/>
    <mergeCell ref="F125:G125"/>
    <mergeCell ref="A129:G129"/>
    <mergeCell ref="A164:G164"/>
    <mergeCell ref="A166:G166"/>
    <mergeCell ref="B139:C139"/>
    <mergeCell ref="A146:G146"/>
    <mergeCell ref="F149:G149"/>
    <mergeCell ref="B144:C144"/>
    <mergeCell ref="B132:C132"/>
    <mergeCell ref="B133:C133"/>
    <mergeCell ref="B134:C134"/>
    <mergeCell ref="B138:C138"/>
    <mergeCell ref="A119:G119"/>
    <mergeCell ref="A120:G120"/>
    <mergeCell ref="A122:G122"/>
    <mergeCell ref="B131:C131"/>
    <mergeCell ref="B124:C124"/>
    <mergeCell ref="B125:C125"/>
    <mergeCell ref="F132:G132"/>
    <mergeCell ref="A136:G136"/>
    <mergeCell ref="F139:G139"/>
    <mergeCell ref="A79:G79"/>
    <mergeCell ref="A80:G80"/>
    <mergeCell ref="B115:C115"/>
    <mergeCell ref="B116:C116"/>
    <mergeCell ref="B117:C117"/>
    <mergeCell ref="A89:F89"/>
    <mergeCell ref="A112:F112"/>
    <mergeCell ref="B114:C114"/>
    <mergeCell ref="A82:G82"/>
    <mergeCell ref="F84:G84"/>
    <mergeCell ref="F91:G91"/>
    <mergeCell ref="A96:G96"/>
    <mergeCell ref="F98:G98"/>
    <mergeCell ref="F105:G105"/>
    <mergeCell ref="A103:G103"/>
    <mergeCell ref="B76:C76"/>
    <mergeCell ref="A68:G68"/>
    <mergeCell ref="A69:G69"/>
    <mergeCell ref="F71:G71"/>
    <mergeCell ref="A54:G54"/>
    <mergeCell ref="F56:G56"/>
    <mergeCell ref="A60:G60"/>
    <mergeCell ref="F62:G62"/>
    <mergeCell ref="A49:G49"/>
    <mergeCell ref="A50:G50"/>
    <mergeCell ref="B77:C77"/>
    <mergeCell ref="B70:C70"/>
    <mergeCell ref="B71:C71"/>
    <mergeCell ref="B72:C72"/>
    <mergeCell ref="B73:C73"/>
    <mergeCell ref="A67:G67"/>
    <mergeCell ref="B74:C74"/>
    <mergeCell ref="B75:C75"/>
    <mergeCell ref="B41:C41"/>
    <mergeCell ref="B42:C42"/>
    <mergeCell ref="A25:F25"/>
    <mergeCell ref="A27:F27"/>
    <mergeCell ref="A51:F51"/>
    <mergeCell ref="B43:C43"/>
    <mergeCell ref="B44:C44"/>
    <mergeCell ref="B45:C45"/>
    <mergeCell ref="A48:F48"/>
    <mergeCell ref="A47:G47"/>
    <mergeCell ref="B30:C30"/>
    <mergeCell ref="B31:C31"/>
    <mergeCell ref="B32:C32"/>
    <mergeCell ref="B33:C33"/>
    <mergeCell ref="A52:G52"/>
    <mergeCell ref="A24:F24"/>
    <mergeCell ref="A35:F35"/>
    <mergeCell ref="A36:F36"/>
    <mergeCell ref="A38:F38"/>
    <mergeCell ref="A39:F39"/>
    <mergeCell ref="E21:F21"/>
    <mergeCell ref="E22:F22"/>
    <mergeCell ref="E19:F19"/>
    <mergeCell ref="E20:G20"/>
    <mergeCell ref="A1:G13"/>
    <mergeCell ref="A14:G14"/>
    <mergeCell ref="A16:G16"/>
    <mergeCell ref="A17:G17"/>
    <mergeCell ref="A18:G18"/>
  </mergeCells>
  <phoneticPr fontId="0" type="noConversion"/>
  <pageMargins left="1.0629921259842521" right="0.47244094488188981" top="0.19685039370078741" bottom="0.19685039370078741" header="0.19685039370078741" footer="0.19685039370078741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FF00"/>
  </sheetPr>
  <dimension ref="A2:K95"/>
  <sheetViews>
    <sheetView zoomScaleNormal="100" workbookViewId="0">
      <selection activeCell="F64" sqref="F64"/>
    </sheetView>
  </sheetViews>
  <sheetFormatPr defaultRowHeight="14.5"/>
  <cols>
    <col min="1" max="1" width="35.7265625" customWidth="1"/>
    <col min="2" max="2" width="8.26953125" customWidth="1"/>
    <col min="3" max="4" width="13.26953125" customWidth="1"/>
    <col min="5" max="5" width="11.453125" customWidth="1"/>
    <col min="6" max="6" width="12.54296875" customWidth="1"/>
    <col min="7" max="11" width="11.453125" customWidth="1"/>
  </cols>
  <sheetData>
    <row r="2" spans="1:11">
      <c r="A2" s="60" t="s">
        <v>699</v>
      </c>
    </row>
    <row r="3" spans="1:11" ht="15.5">
      <c r="A3" s="59" t="s">
        <v>698</v>
      </c>
      <c r="B3" s="46"/>
      <c r="C3" s="46"/>
      <c r="D3" s="46"/>
      <c r="E3" s="46"/>
      <c r="F3" s="46"/>
      <c r="G3" s="46"/>
      <c r="H3" s="46"/>
      <c r="I3" s="46"/>
      <c r="J3" s="46"/>
    </row>
    <row r="4" spans="1:11" ht="15.5">
      <c r="A4" s="228" t="s">
        <v>720</v>
      </c>
      <c r="B4" s="228"/>
      <c r="C4" s="228"/>
      <c r="D4" s="228"/>
      <c r="E4" s="228"/>
      <c r="F4" s="228"/>
      <c r="G4" s="228"/>
      <c r="H4" s="228"/>
      <c r="I4" s="228"/>
      <c r="J4" s="46"/>
    </row>
    <row r="5" spans="1:11" ht="15.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1" ht="23.5" customHeight="1">
      <c r="A6" s="362" t="s">
        <v>443</v>
      </c>
      <c r="B6" s="362" t="s">
        <v>444</v>
      </c>
      <c r="C6" s="362" t="s">
        <v>445</v>
      </c>
      <c r="D6" s="363" t="s">
        <v>713</v>
      </c>
      <c r="E6" s="363"/>
      <c r="F6" s="363"/>
      <c r="G6" s="363"/>
      <c r="H6" s="363"/>
      <c r="I6" s="363"/>
      <c r="J6" s="363"/>
    </row>
    <row r="7" spans="1:11" ht="96.65" customHeight="1">
      <c r="A7" s="362"/>
      <c r="B7" s="362"/>
      <c r="C7" s="362"/>
      <c r="D7" s="58" t="s">
        <v>447</v>
      </c>
      <c r="E7" s="58" t="s">
        <v>672</v>
      </c>
      <c r="F7" s="58" t="s">
        <v>673</v>
      </c>
      <c r="G7" s="58" t="s">
        <v>674</v>
      </c>
      <c r="H7" s="58" t="s">
        <v>677</v>
      </c>
      <c r="I7" s="58" t="s">
        <v>675</v>
      </c>
      <c r="J7" s="58" t="s">
        <v>676</v>
      </c>
    </row>
    <row r="8" spans="1:11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  <c r="J8" s="11">
        <v>10</v>
      </c>
    </row>
    <row r="9" spans="1:11" ht="15.5">
      <c r="A9" s="43"/>
      <c r="B9" s="43"/>
      <c r="C9" s="43"/>
      <c r="D9" s="57">
        <f t="shared" ref="D9:J9" si="0">D94-D95-D10</f>
        <v>0</v>
      </c>
      <c r="E9" s="57">
        <f>E94-E95-E10</f>
        <v>0</v>
      </c>
      <c r="F9" s="57">
        <f t="shared" si="0"/>
        <v>0</v>
      </c>
      <c r="G9" s="57">
        <f t="shared" si="0"/>
        <v>0</v>
      </c>
      <c r="H9" s="57">
        <f t="shared" si="0"/>
        <v>0</v>
      </c>
      <c r="I9" s="57">
        <f t="shared" si="0"/>
        <v>0</v>
      </c>
      <c r="J9" s="57">
        <f t="shared" si="0"/>
        <v>0</v>
      </c>
      <c r="K9" s="66" t="s">
        <v>714</v>
      </c>
    </row>
    <row r="10" spans="1:11">
      <c r="A10" s="43" t="s">
        <v>339</v>
      </c>
      <c r="B10" s="43">
        <v>200</v>
      </c>
      <c r="C10" s="43" t="s">
        <v>340</v>
      </c>
      <c r="D10" s="47">
        <f>SUM(E10:J10)</f>
        <v>0</v>
      </c>
      <c r="E10" s="47">
        <f t="shared" ref="E10:J10" si="1">E12+E27+E37+E49+E51+E53</f>
        <v>0</v>
      </c>
      <c r="F10" s="47">
        <f t="shared" si="1"/>
        <v>0</v>
      </c>
      <c r="G10" s="47">
        <f t="shared" si="1"/>
        <v>0</v>
      </c>
      <c r="H10" s="47">
        <f t="shared" si="1"/>
        <v>0</v>
      </c>
      <c r="I10" s="47">
        <f t="shared" si="1"/>
        <v>0</v>
      </c>
      <c r="J10" s="47">
        <f t="shared" si="1"/>
        <v>0</v>
      </c>
    </row>
    <row r="11" spans="1:11">
      <c r="A11" s="43" t="s">
        <v>341</v>
      </c>
      <c r="B11" s="43"/>
      <c r="C11" s="43"/>
      <c r="D11" s="47"/>
      <c r="E11" s="41"/>
      <c r="F11" s="41"/>
      <c r="G11" s="41"/>
      <c r="H11" s="41"/>
      <c r="I11" s="41"/>
      <c r="J11" s="41"/>
    </row>
    <row r="12" spans="1:11" ht="26">
      <c r="A12" s="43" t="s">
        <v>678</v>
      </c>
      <c r="B12" s="43">
        <v>210</v>
      </c>
      <c r="C12" s="43">
        <v>100</v>
      </c>
      <c r="D12" s="47">
        <f>SUM(E12:J12)</f>
        <v>0</v>
      </c>
      <c r="E12" s="47">
        <f t="shared" ref="E12:J12" si="2">E14</f>
        <v>0</v>
      </c>
      <c r="F12" s="47">
        <f t="shared" si="2"/>
        <v>0</v>
      </c>
      <c r="G12" s="47">
        <f t="shared" si="2"/>
        <v>0</v>
      </c>
      <c r="H12" s="47">
        <f t="shared" si="2"/>
        <v>0</v>
      </c>
      <c r="I12" s="47">
        <f t="shared" si="2"/>
        <v>0</v>
      </c>
      <c r="J12" s="47">
        <f t="shared" si="2"/>
        <v>0</v>
      </c>
    </row>
    <row r="13" spans="1:11">
      <c r="A13" s="43" t="s">
        <v>225</v>
      </c>
      <c r="B13" s="43"/>
      <c r="C13" s="43"/>
      <c r="D13" s="47"/>
      <c r="E13" s="41"/>
      <c r="F13" s="41"/>
      <c r="G13" s="41"/>
      <c r="H13" s="41"/>
      <c r="I13" s="41"/>
      <c r="J13" s="41"/>
    </row>
    <row r="14" spans="1:11">
      <c r="A14" s="43" t="s">
        <v>342</v>
      </c>
      <c r="B14" s="43">
        <v>211</v>
      </c>
      <c r="C14" s="43">
        <v>110</v>
      </c>
      <c r="D14" s="47">
        <f>SUM(E14:J14)</f>
        <v>0</v>
      </c>
      <c r="E14" s="47">
        <f t="shared" ref="E14:J14" si="3">SUM(E16:E26)</f>
        <v>0</v>
      </c>
      <c r="F14" s="47">
        <f t="shared" si="3"/>
        <v>0</v>
      </c>
      <c r="G14" s="47">
        <f t="shared" si="3"/>
        <v>0</v>
      </c>
      <c r="H14" s="47">
        <f t="shared" si="3"/>
        <v>0</v>
      </c>
      <c r="I14" s="47">
        <f t="shared" si="3"/>
        <v>0</v>
      </c>
      <c r="J14" s="47">
        <f t="shared" si="3"/>
        <v>0</v>
      </c>
    </row>
    <row r="15" spans="1:11">
      <c r="A15" s="43" t="s">
        <v>225</v>
      </c>
      <c r="B15" s="43"/>
      <c r="C15" s="43"/>
      <c r="D15" s="47"/>
      <c r="E15" s="41"/>
      <c r="F15" s="41"/>
      <c r="G15" s="41"/>
      <c r="H15" s="41"/>
      <c r="I15" s="41"/>
      <c r="J15" s="41"/>
    </row>
    <row r="16" spans="1:11">
      <c r="A16" s="43" t="s">
        <v>343</v>
      </c>
      <c r="B16" s="43">
        <v>211.1</v>
      </c>
      <c r="C16" s="43" t="s">
        <v>621</v>
      </c>
      <c r="D16" s="47">
        <f t="shared" ref="D16:D25" si="4">SUM(E16:J16)</f>
        <v>0</v>
      </c>
      <c r="E16" s="41"/>
      <c r="F16" s="41"/>
      <c r="G16" s="41"/>
      <c r="H16" s="41"/>
      <c r="I16" s="41"/>
      <c r="J16" s="41"/>
    </row>
    <row r="17" spans="1:10" ht="26">
      <c r="A17" s="43" t="s">
        <v>659</v>
      </c>
      <c r="B17" s="43">
        <v>211.2</v>
      </c>
      <c r="C17" s="43" t="s">
        <v>622</v>
      </c>
      <c r="D17" s="47">
        <f t="shared" si="4"/>
        <v>0</v>
      </c>
      <c r="E17" s="41"/>
      <c r="F17" s="41"/>
      <c r="G17" s="41"/>
      <c r="H17" s="41"/>
      <c r="I17" s="41"/>
      <c r="J17" s="41"/>
    </row>
    <row r="18" spans="1:10" ht="26">
      <c r="A18" s="43" t="s">
        <v>344</v>
      </c>
      <c r="B18" s="43">
        <v>211.3</v>
      </c>
      <c r="C18" s="43" t="s">
        <v>345</v>
      </c>
      <c r="D18" s="47">
        <f t="shared" si="4"/>
        <v>0</v>
      </c>
      <c r="E18" s="41"/>
      <c r="F18" s="41"/>
      <c r="G18" s="41"/>
      <c r="H18" s="41"/>
      <c r="I18" s="41"/>
      <c r="J18" s="41"/>
    </row>
    <row r="19" spans="1:10" ht="65">
      <c r="A19" s="43" t="s">
        <v>346</v>
      </c>
      <c r="B19" s="43">
        <v>211.4</v>
      </c>
      <c r="C19" s="43" t="s">
        <v>347</v>
      </c>
      <c r="D19" s="47">
        <f t="shared" si="4"/>
        <v>0</v>
      </c>
      <c r="E19" s="41"/>
      <c r="F19" s="41"/>
      <c r="G19" s="41"/>
      <c r="H19" s="41"/>
      <c r="I19" s="41"/>
      <c r="J19" s="41"/>
    </row>
    <row r="20" spans="1:10" ht="26">
      <c r="A20" s="43" t="s">
        <v>348</v>
      </c>
      <c r="B20" s="43">
        <v>211.5</v>
      </c>
      <c r="C20" s="43" t="s">
        <v>623</v>
      </c>
      <c r="D20" s="47">
        <f t="shared" si="4"/>
        <v>0</v>
      </c>
      <c r="E20" s="41"/>
      <c r="F20" s="41"/>
      <c r="G20" s="41"/>
      <c r="H20" s="41"/>
      <c r="I20" s="41"/>
      <c r="J20" s="41"/>
    </row>
    <row r="21" spans="1:10">
      <c r="A21" s="43" t="s">
        <v>349</v>
      </c>
      <c r="B21" s="43">
        <v>211.6</v>
      </c>
      <c r="C21" s="43" t="s">
        <v>350</v>
      </c>
      <c r="D21" s="47">
        <f t="shared" si="4"/>
        <v>0</v>
      </c>
      <c r="E21" s="41"/>
      <c r="F21" s="41"/>
      <c r="G21" s="41"/>
      <c r="H21" s="41"/>
      <c r="I21" s="41"/>
      <c r="J21" s="41"/>
    </row>
    <row r="22" spans="1:10">
      <c r="A22" s="43" t="s">
        <v>351</v>
      </c>
      <c r="B22" s="43">
        <v>211.7</v>
      </c>
      <c r="C22" s="43" t="s">
        <v>624</v>
      </c>
      <c r="D22" s="47">
        <f t="shared" si="4"/>
        <v>0</v>
      </c>
      <c r="E22" s="41"/>
      <c r="F22" s="41"/>
      <c r="G22" s="41"/>
      <c r="H22" s="41"/>
      <c r="I22" s="41"/>
      <c r="J22" s="41"/>
    </row>
    <row r="23" spans="1:10">
      <c r="A23" s="43" t="s">
        <v>352</v>
      </c>
      <c r="B23" s="43">
        <v>211.8</v>
      </c>
      <c r="C23" s="43" t="s">
        <v>625</v>
      </c>
      <c r="D23" s="47">
        <f t="shared" si="4"/>
        <v>0</v>
      </c>
      <c r="E23" s="41"/>
      <c r="F23" s="41"/>
      <c r="G23" s="41"/>
      <c r="H23" s="41"/>
      <c r="I23" s="41"/>
      <c r="J23" s="41"/>
    </row>
    <row r="24" spans="1:10" ht="65">
      <c r="A24" s="43" t="s">
        <v>353</v>
      </c>
      <c r="B24" s="43">
        <v>211.9</v>
      </c>
      <c r="C24" s="43" t="s">
        <v>354</v>
      </c>
      <c r="D24" s="47">
        <f t="shared" si="4"/>
        <v>0</v>
      </c>
      <c r="E24" s="41"/>
      <c r="F24" s="41"/>
      <c r="G24" s="41"/>
      <c r="H24" s="41"/>
      <c r="I24" s="41"/>
      <c r="J24" s="41"/>
    </row>
    <row r="25" spans="1:10" ht="52">
      <c r="A25" s="43" t="s">
        <v>355</v>
      </c>
      <c r="B25" s="43">
        <v>211.1</v>
      </c>
      <c r="C25" s="43" t="s">
        <v>356</v>
      </c>
      <c r="D25" s="47">
        <f t="shared" si="4"/>
        <v>0</v>
      </c>
      <c r="E25" s="41"/>
      <c r="F25" s="41"/>
      <c r="G25" s="41"/>
      <c r="H25" s="41"/>
      <c r="I25" s="41"/>
      <c r="J25" s="41"/>
    </row>
    <row r="26" spans="1:10">
      <c r="A26" s="43" t="s">
        <v>357</v>
      </c>
      <c r="B26" s="43">
        <v>211.11</v>
      </c>
      <c r="C26" s="43" t="s">
        <v>626</v>
      </c>
      <c r="D26" s="47">
        <f>SUM(E26:J26)</f>
        <v>0</v>
      </c>
      <c r="E26" s="41"/>
      <c r="F26" s="41"/>
      <c r="G26" s="41"/>
      <c r="H26" s="41"/>
      <c r="I26" s="41"/>
      <c r="J26" s="41"/>
    </row>
    <row r="27" spans="1:10" ht="26">
      <c r="A27" s="43" t="s">
        <v>358</v>
      </c>
      <c r="B27" s="43">
        <v>220</v>
      </c>
      <c r="C27" s="43">
        <v>300</v>
      </c>
      <c r="D27" s="47">
        <f>SUM(E27:J27)</f>
        <v>0</v>
      </c>
      <c r="E27" s="47">
        <f t="shared" ref="E27:J27" si="5">E29</f>
        <v>0</v>
      </c>
      <c r="F27" s="47">
        <f t="shared" si="5"/>
        <v>0</v>
      </c>
      <c r="G27" s="47">
        <f t="shared" si="5"/>
        <v>0</v>
      </c>
      <c r="H27" s="47">
        <f t="shared" si="5"/>
        <v>0</v>
      </c>
      <c r="I27" s="47">
        <f t="shared" si="5"/>
        <v>0</v>
      </c>
      <c r="J27" s="47">
        <f t="shared" si="5"/>
        <v>0</v>
      </c>
    </row>
    <row r="28" spans="1:10">
      <c r="A28" s="43" t="s">
        <v>227</v>
      </c>
      <c r="B28" s="43"/>
      <c r="C28" s="43"/>
      <c r="D28" s="47"/>
      <c r="E28" s="41"/>
      <c r="F28" s="41"/>
      <c r="G28" s="41"/>
      <c r="H28" s="41"/>
      <c r="I28" s="41"/>
      <c r="J28" s="41"/>
    </row>
    <row r="29" spans="1:10" ht="39">
      <c r="A29" s="43" t="s">
        <v>359</v>
      </c>
      <c r="B29" s="43">
        <v>221</v>
      </c>
      <c r="C29" s="43">
        <v>320</v>
      </c>
      <c r="D29" s="47">
        <f>SUM(E29:J29)</f>
        <v>0</v>
      </c>
      <c r="E29" s="47">
        <f t="shared" ref="E29:J29" si="6">SUM(E31:E36)</f>
        <v>0</v>
      </c>
      <c r="F29" s="47">
        <f t="shared" si="6"/>
        <v>0</v>
      </c>
      <c r="G29" s="47">
        <f t="shared" si="6"/>
        <v>0</v>
      </c>
      <c r="H29" s="47">
        <f t="shared" si="6"/>
        <v>0</v>
      </c>
      <c r="I29" s="47">
        <f t="shared" si="6"/>
        <v>0</v>
      </c>
      <c r="J29" s="47">
        <f t="shared" si="6"/>
        <v>0</v>
      </c>
    </row>
    <row r="30" spans="1:10">
      <c r="A30" s="43" t="s">
        <v>225</v>
      </c>
      <c r="B30" s="44"/>
      <c r="C30" s="44"/>
      <c r="D30" s="47"/>
      <c r="E30" s="41"/>
      <c r="F30" s="41"/>
      <c r="G30" s="41"/>
      <c r="H30" s="41"/>
      <c r="I30" s="41"/>
      <c r="J30" s="41"/>
    </row>
    <row r="31" spans="1:10">
      <c r="A31" s="43" t="s">
        <v>360</v>
      </c>
      <c r="B31" s="43">
        <v>221.1</v>
      </c>
      <c r="C31" s="43" t="s">
        <v>361</v>
      </c>
      <c r="D31" s="47">
        <f t="shared" ref="D31:D37" si="7">SUM(E31:J31)</f>
        <v>0</v>
      </c>
      <c r="E31" s="41"/>
      <c r="F31" s="41"/>
      <c r="G31" s="41"/>
      <c r="H31" s="41"/>
      <c r="I31" s="41"/>
      <c r="J31" s="41"/>
    </row>
    <row r="32" spans="1:10">
      <c r="A32" s="43" t="s">
        <v>660</v>
      </c>
      <c r="B32" s="43">
        <v>221.2</v>
      </c>
      <c r="C32" s="43" t="s">
        <v>362</v>
      </c>
      <c r="D32" s="47">
        <f t="shared" si="7"/>
        <v>0</v>
      </c>
      <c r="E32" s="41"/>
      <c r="F32" s="41"/>
      <c r="G32" s="41"/>
      <c r="H32" s="41"/>
      <c r="I32" s="41"/>
      <c r="J32" s="41"/>
    </row>
    <row r="33" spans="1:10" ht="39">
      <c r="A33" s="43" t="s">
        <v>363</v>
      </c>
      <c r="B33" s="43">
        <v>221.3</v>
      </c>
      <c r="C33" s="43" t="s">
        <v>364</v>
      </c>
      <c r="D33" s="47">
        <f t="shared" si="7"/>
        <v>0</v>
      </c>
      <c r="E33" s="41"/>
      <c r="F33" s="41"/>
      <c r="G33" s="41"/>
      <c r="H33" s="41"/>
      <c r="I33" s="41"/>
      <c r="J33" s="41"/>
    </row>
    <row r="34" spans="1:10">
      <c r="A34" s="43" t="s">
        <v>365</v>
      </c>
      <c r="B34" s="43">
        <v>222</v>
      </c>
      <c r="C34" s="43" t="s">
        <v>366</v>
      </c>
      <c r="D34" s="47">
        <f t="shared" si="7"/>
        <v>0</v>
      </c>
      <c r="E34" s="41"/>
      <c r="F34" s="41"/>
      <c r="G34" s="41"/>
      <c r="H34" s="41"/>
      <c r="I34" s="41"/>
      <c r="J34" s="41"/>
    </row>
    <row r="35" spans="1:10">
      <c r="A35" s="43" t="s">
        <v>367</v>
      </c>
      <c r="B35" s="43">
        <v>223</v>
      </c>
      <c r="C35" s="43" t="s">
        <v>368</v>
      </c>
      <c r="D35" s="47">
        <f t="shared" si="7"/>
        <v>0</v>
      </c>
      <c r="E35" s="41"/>
      <c r="F35" s="41"/>
      <c r="G35" s="41"/>
      <c r="H35" s="41"/>
      <c r="I35" s="41"/>
      <c r="J35" s="41"/>
    </row>
    <row r="36" spans="1:10">
      <c r="A36" s="43" t="s">
        <v>369</v>
      </c>
      <c r="B36" s="43">
        <v>224</v>
      </c>
      <c r="C36" s="43" t="s">
        <v>370</v>
      </c>
      <c r="D36" s="47">
        <f t="shared" si="7"/>
        <v>0</v>
      </c>
      <c r="E36" s="41"/>
      <c r="F36" s="41"/>
      <c r="G36" s="41"/>
      <c r="H36" s="41"/>
      <c r="I36" s="41"/>
      <c r="J36" s="41"/>
    </row>
    <row r="37" spans="1:10" ht="26">
      <c r="A37" s="43" t="s">
        <v>371</v>
      </c>
      <c r="B37" s="43">
        <v>230</v>
      </c>
      <c r="C37" s="43">
        <v>800</v>
      </c>
      <c r="D37" s="47">
        <f t="shared" si="7"/>
        <v>0</v>
      </c>
      <c r="E37" s="47">
        <f t="shared" ref="E37:J37" si="8">E39+E42</f>
        <v>0</v>
      </c>
      <c r="F37" s="47">
        <f t="shared" si="8"/>
        <v>0</v>
      </c>
      <c r="G37" s="47">
        <f t="shared" si="8"/>
        <v>0</v>
      </c>
      <c r="H37" s="47">
        <f t="shared" si="8"/>
        <v>0</v>
      </c>
      <c r="I37" s="47">
        <f t="shared" si="8"/>
        <v>0</v>
      </c>
      <c r="J37" s="47">
        <f t="shared" si="8"/>
        <v>0</v>
      </c>
    </row>
    <row r="38" spans="1:10">
      <c r="A38" s="43" t="s">
        <v>227</v>
      </c>
      <c r="B38" s="44"/>
      <c r="C38" s="44"/>
      <c r="D38" s="47"/>
      <c r="E38" s="41"/>
      <c r="F38" s="41"/>
      <c r="G38" s="41"/>
      <c r="H38" s="41"/>
      <c r="I38" s="41"/>
      <c r="J38" s="41"/>
    </row>
    <row r="39" spans="1:10">
      <c r="A39" s="43" t="s">
        <v>372</v>
      </c>
      <c r="B39" s="43">
        <v>231</v>
      </c>
      <c r="C39" s="43">
        <v>830</v>
      </c>
      <c r="D39" s="47">
        <f>SUM(E39:J39)</f>
        <v>0</v>
      </c>
      <c r="E39" s="47">
        <f t="shared" ref="E39:J39" si="9">E41</f>
        <v>0</v>
      </c>
      <c r="F39" s="47">
        <f t="shared" si="9"/>
        <v>0</v>
      </c>
      <c r="G39" s="47">
        <f t="shared" si="9"/>
        <v>0</v>
      </c>
      <c r="H39" s="47">
        <f t="shared" si="9"/>
        <v>0</v>
      </c>
      <c r="I39" s="47">
        <f t="shared" si="9"/>
        <v>0</v>
      </c>
      <c r="J39" s="47">
        <f t="shared" si="9"/>
        <v>0</v>
      </c>
    </row>
    <row r="40" spans="1:10">
      <c r="A40" s="43" t="s">
        <v>225</v>
      </c>
      <c r="B40" s="45"/>
      <c r="C40" s="45"/>
      <c r="D40" s="48"/>
      <c r="E40" s="42"/>
      <c r="F40" s="42"/>
      <c r="G40" s="42"/>
      <c r="H40" s="42"/>
      <c r="I40" s="42"/>
      <c r="J40" s="42"/>
    </row>
    <row r="41" spans="1:10" ht="39">
      <c r="A41" s="43" t="s">
        <v>373</v>
      </c>
      <c r="B41" s="43">
        <v>231.1</v>
      </c>
      <c r="C41" s="43" t="s">
        <v>374</v>
      </c>
      <c r="D41" s="47">
        <f>SUM(E41:J41)</f>
        <v>0</v>
      </c>
      <c r="E41" s="41"/>
      <c r="F41" s="41"/>
      <c r="G41" s="41"/>
      <c r="H41" s="41"/>
      <c r="I41" s="41"/>
      <c r="J41" s="41"/>
    </row>
    <row r="42" spans="1:10" ht="26">
      <c r="A42" s="43" t="s">
        <v>375</v>
      </c>
      <c r="B42" s="43">
        <v>232</v>
      </c>
      <c r="C42" s="43">
        <v>850</v>
      </c>
      <c r="D42" s="47">
        <f>SUM(E42:J42)</f>
        <v>0</v>
      </c>
      <c r="E42" s="47">
        <f t="shared" ref="E42:J42" si="10">SUM(E44:E47)</f>
        <v>0</v>
      </c>
      <c r="F42" s="47">
        <f t="shared" si="10"/>
        <v>0</v>
      </c>
      <c r="G42" s="47">
        <f t="shared" si="10"/>
        <v>0</v>
      </c>
      <c r="H42" s="47">
        <f t="shared" si="10"/>
        <v>0</v>
      </c>
      <c r="I42" s="47">
        <f t="shared" si="10"/>
        <v>0</v>
      </c>
      <c r="J42" s="47">
        <f t="shared" si="10"/>
        <v>0</v>
      </c>
    </row>
    <row r="43" spans="1:10">
      <c r="A43" s="43" t="s">
        <v>225</v>
      </c>
      <c r="B43" s="44"/>
      <c r="C43" s="44"/>
      <c r="D43" s="47"/>
      <c r="E43" s="41"/>
      <c r="F43" s="41"/>
      <c r="G43" s="41"/>
      <c r="H43" s="41"/>
      <c r="I43" s="41"/>
      <c r="J43" s="41"/>
    </row>
    <row r="44" spans="1:10" ht="26">
      <c r="A44" s="43" t="s">
        <v>376</v>
      </c>
      <c r="B44" s="43">
        <v>232.1</v>
      </c>
      <c r="C44" s="43" t="s">
        <v>377</v>
      </c>
      <c r="D44" s="47">
        <f>SUM(E44:J44)</f>
        <v>0</v>
      </c>
      <c r="E44" s="41"/>
      <c r="F44" s="41"/>
      <c r="G44" s="41"/>
      <c r="H44" s="41"/>
      <c r="I44" s="41"/>
      <c r="J44" s="41"/>
    </row>
    <row r="45" spans="1:10">
      <c r="A45" s="43" t="s">
        <v>378</v>
      </c>
      <c r="B45" s="43">
        <v>232.2</v>
      </c>
      <c r="C45" s="43" t="s">
        <v>379</v>
      </c>
      <c r="D45" s="47">
        <f>SUM(E45:J45)</f>
        <v>0</v>
      </c>
      <c r="E45" s="41"/>
      <c r="F45" s="41"/>
      <c r="G45" s="41"/>
      <c r="H45" s="41"/>
      <c r="I45" s="41"/>
      <c r="J45" s="41"/>
    </row>
    <row r="46" spans="1:10" ht="39">
      <c r="A46" s="43" t="s">
        <v>380</v>
      </c>
      <c r="B46" s="43">
        <v>232.3</v>
      </c>
      <c r="C46" s="43" t="s">
        <v>381</v>
      </c>
      <c r="D46" s="47">
        <f>SUM(E46:J46)</f>
        <v>0</v>
      </c>
      <c r="E46" s="41"/>
      <c r="F46" s="41"/>
      <c r="G46" s="41"/>
      <c r="H46" s="41"/>
      <c r="I46" s="41"/>
      <c r="J46" s="41"/>
    </row>
    <row r="47" spans="1:10">
      <c r="A47" s="43" t="s">
        <v>382</v>
      </c>
      <c r="B47" s="43">
        <v>232.4</v>
      </c>
      <c r="C47" s="43" t="s">
        <v>383</v>
      </c>
      <c r="D47" s="47">
        <f>SUM(E47:J47)</f>
        <v>0</v>
      </c>
      <c r="E47" s="41"/>
      <c r="F47" s="41"/>
      <c r="G47" s="41"/>
      <c r="H47" s="41"/>
      <c r="I47" s="41"/>
      <c r="J47" s="41"/>
    </row>
    <row r="48" spans="1:10">
      <c r="A48" s="43"/>
      <c r="B48" s="43"/>
      <c r="C48" s="43"/>
      <c r="D48" s="47"/>
      <c r="E48" s="41"/>
      <c r="F48" s="41"/>
      <c r="G48" s="41"/>
      <c r="H48" s="41"/>
      <c r="I48" s="41"/>
      <c r="J48" s="41"/>
    </row>
    <row r="49" spans="1:10">
      <c r="A49" s="43" t="s">
        <v>384</v>
      </c>
      <c r="B49" s="43">
        <v>240</v>
      </c>
      <c r="C49" s="43"/>
      <c r="D49" s="47">
        <f>SUM(E49:J49)</f>
        <v>0</v>
      </c>
      <c r="E49" s="41"/>
      <c r="F49" s="41"/>
      <c r="G49" s="41"/>
      <c r="H49" s="41"/>
      <c r="I49" s="41"/>
      <c r="J49" s="41"/>
    </row>
    <row r="50" spans="1:10">
      <c r="A50" s="43"/>
      <c r="B50" s="43"/>
      <c r="C50" s="43"/>
      <c r="D50" s="47"/>
      <c r="E50" s="41"/>
      <c r="F50" s="41"/>
      <c r="G50" s="41"/>
      <c r="H50" s="41"/>
      <c r="I50" s="41"/>
      <c r="J50" s="41"/>
    </row>
    <row r="51" spans="1:10" ht="26">
      <c r="A51" s="43" t="s">
        <v>385</v>
      </c>
      <c r="B51" s="43">
        <v>250</v>
      </c>
      <c r="C51" s="43"/>
      <c r="D51" s="47">
        <f>SUM(E51:J51)</f>
        <v>0</v>
      </c>
      <c r="E51" s="41"/>
      <c r="F51" s="41"/>
      <c r="G51" s="41"/>
      <c r="H51" s="41"/>
      <c r="I51" s="41"/>
      <c r="J51" s="41"/>
    </row>
    <row r="52" spans="1:10">
      <c r="A52" s="43"/>
      <c r="B52" s="43"/>
      <c r="C52" s="43"/>
      <c r="D52" s="47"/>
      <c r="E52" s="41"/>
      <c r="F52" s="41"/>
      <c r="G52" s="41"/>
      <c r="H52" s="41"/>
      <c r="I52" s="41"/>
      <c r="J52" s="41"/>
    </row>
    <row r="53" spans="1:10">
      <c r="A53" s="43" t="s">
        <v>386</v>
      </c>
      <c r="B53" s="43">
        <v>260</v>
      </c>
      <c r="C53" s="43">
        <v>200</v>
      </c>
      <c r="D53" s="47">
        <f>SUM(E53:J53)</f>
        <v>0</v>
      </c>
      <c r="E53" s="47">
        <f t="shared" ref="E53:J53" si="11">E55</f>
        <v>0</v>
      </c>
      <c r="F53" s="47">
        <f t="shared" si="11"/>
        <v>0</v>
      </c>
      <c r="G53" s="47">
        <f t="shared" si="11"/>
        <v>0</v>
      </c>
      <c r="H53" s="47">
        <f t="shared" si="11"/>
        <v>0</v>
      </c>
      <c r="I53" s="47">
        <f t="shared" si="11"/>
        <v>0</v>
      </c>
      <c r="J53" s="47">
        <f t="shared" si="11"/>
        <v>0</v>
      </c>
    </row>
    <row r="54" spans="1:10">
      <c r="A54" s="43" t="s">
        <v>227</v>
      </c>
      <c r="B54" s="43"/>
      <c r="C54" s="43"/>
      <c r="D54" s="47"/>
      <c r="E54" s="41"/>
      <c r="F54" s="41"/>
      <c r="G54" s="41"/>
      <c r="H54" s="41"/>
      <c r="I54" s="41"/>
      <c r="J54" s="41"/>
    </row>
    <row r="55" spans="1:10" ht="26">
      <c r="A55" s="43" t="s">
        <v>387</v>
      </c>
      <c r="B55" s="43">
        <v>261</v>
      </c>
      <c r="C55" s="43">
        <v>240</v>
      </c>
      <c r="D55" s="47">
        <f>SUM(E55:J55)</f>
        <v>0</v>
      </c>
      <c r="E55" s="47">
        <f t="shared" ref="E55:J55" si="12">SUM(E57:E92)</f>
        <v>0</v>
      </c>
      <c r="F55" s="47">
        <f t="shared" si="12"/>
        <v>0</v>
      </c>
      <c r="G55" s="47">
        <f t="shared" si="12"/>
        <v>0</v>
      </c>
      <c r="H55" s="47">
        <f t="shared" si="12"/>
        <v>0</v>
      </c>
      <c r="I55" s="47">
        <f t="shared" si="12"/>
        <v>0</v>
      </c>
      <c r="J55" s="47">
        <f t="shared" si="12"/>
        <v>0</v>
      </c>
    </row>
    <row r="56" spans="1:10">
      <c r="A56" s="43" t="s">
        <v>225</v>
      </c>
      <c r="B56" s="43"/>
      <c r="C56" s="43"/>
      <c r="D56" s="47"/>
      <c r="E56" s="41"/>
      <c r="F56" s="41"/>
      <c r="G56" s="41"/>
      <c r="H56" s="41"/>
      <c r="I56" s="41"/>
      <c r="J56" s="41"/>
    </row>
    <row r="57" spans="1:10" ht="26">
      <c r="A57" s="43" t="s">
        <v>388</v>
      </c>
      <c r="B57" s="43">
        <v>261.10000000000002</v>
      </c>
      <c r="C57" s="43" t="s">
        <v>389</v>
      </c>
      <c r="D57" s="47">
        <f>SUM(E57:J57)</f>
        <v>0</v>
      </c>
      <c r="E57" s="41"/>
      <c r="F57" s="41"/>
      <c r="G57" s="41"/>
      <c r="H57" s="41"/>
      <c r="I57" s="41"/>
      <c r="J57" s="41"/>
    </row>
    <row r="58" spans="1:10">
      <c r="A58" s="43" t="s">
        <v>390</v>
      </c>
      <c r="B58" s="43">
        <v>261.2</v>
      </c>
      <c r="C58" s="43" t="s">
        <v>391</v>
      </c>
      <c r="D58" s="47">
        <f>SUM(E58:J58)</f>
        <v>0</v>
      </c>
      <c r="E58" s="41"/>
      <c r="F58" s="41"/>
      <c r="G58" s="41"/>
      <c r="H58" s="41"/>
      <c r="I58" s="41"/>
      <c r="J58" s="41"/>
    </row>
    <row r="59" spans="1:10" ht="52">
      <c r="A59" s="43" t="s">
        <v>392</v>
      </c>
      <c r="B59" s="43">
        <v>261.3</v>
      </c>
      <c r="C59" s="43" t="s">
        <v>393</v>
      </c>
      <c r="D59" s="47">
        <f t="shared" ref="D59:D92" si="13">SUM(E59:J59)</f>
        <v>0</v>
      </c>
      <c r="E59" s="41"/>
      <c r="F59" s="41"/>
      <c r="G59" s="41"/>
      <c r="H59" s="41"/>
      <c r="I59" s="41"/>
      <c r="J59" s="41"/>
    </row>
    <row r="60" spans="1:10">
      <c r="A60" s="43" t="s">
        <v>394</v>
      </c>
      <c r="B60" s="43">
        <v>261.39999999999998</v>
      </c>
      <c r="C60" s="43" t="s">
        <v>395</v>
      </c>
      <c r="D60" s="47">
        <f t="shared" si="13"/>
        <v>0</v>
      </c>
      <c r="E60" s="41"/>
      <c r="F60" s="41"/>
      <c r="G60" s="41"/>
      <c r="H60" s="41"/>
      <c r="I60" s="41"/>
      <c r="J60" s="41"/>
    </row>
    <row r="61" spans="1:10">
      <c r="A61" s="43" t="s">
        <v>396</v>
      </c>
      <c r="B61" s="43">
        <v>261.5</v>
      </c>
      <c r="C61" s="43" t="s">
        <v>627</v>
      </c>
      <c r="D61" s="47">
        <f t="shared" si="13"/>
        <v>0</v>
      </c>
      <c r="E61" s="41"/>
      <c r="F61" s="41"/>
      <c r="G61" s="41"/>
      <c r="H61" s="41"/>
      <c r="I61" s="41"/>
      <c r="J61" s="41"/>
    </row>
    <row r="62" spans="1:10">
      <c r="A62" s="43" t="s">
        <v>397</v>
      </c>
      <c r="B62" s="43">
        <v>261.60000000000002</v>
      </c>
      <c r="C62" s="43" t="s">
        <v>686</v>
      </c>
      <c r="D62" s="47">
        <f t="shared" si="13"/>
        <v>0</v>
      </c>
      <c r="E62" s="41"/>
      <c r="F62" s="41"/>
      <c r="G62" s="41"/>
      <c r="H62" s="41"/>
      <c r="I62" s="41"/>
      <c r="J62" s="41"/>
    </row>
    <row r="63" spans="1:10">
      <c r="A63" s="43" t="s">
        <v>352</v>
      </c>
      <c r="B63" s="43">
        <v>261.7</v>
      </c>
      <c r="C63" s="43" t="s">
        <v>628</v>
      </c>
      <c r="D63" s="47">
        <f t="shared" si="13"/>
        <v>0</v>
      </c>
      <c r="E63" s="41"/>
      <c r="F63" s="41"/>
      <c r="G63" s="41"/>
      <c r="H63" s="41"/>
      <c r="I63" s="41"/>
      <c r="J63" s="41"/>
    </row>
    <row r="64" spans="1:10">
      <c r="A64" s="43" t="s">
        <v>398</v>
      </c>
      <c r="B64" s="43">
        <v>261.8</v>
      </c>
      <c r="C64" s="43" t="s">
        <v>629</v>
      </c>
      <c r="D64" s="47">
        <f t="shared" si="13"/>
        <v>0</v>
      </c>
      <c r="E64" s="41"/>
      <c r="F64" s="41"/>
      <c r="G64" s="41"/>
      <c r="H64" s="41"/>
      <c r="I64" s="41"/>
      <c r="J64" s="41"/>
    </row>
    <row r="65" spans="1:10" ht="26">
      <c r="A65" s="43" t="s">
        <v>399</v>
      </c>
      <c r="B65" s="43">
        <v>261.89999999999998</v>
      </c>
      <c r="C65" s="43" t="s">
        <v>630</v>
      </c>
      <c r="D65" s="47">
        <f t="shared" si="13"/>
        <v>0</v>
      </c>
      <c r="E65" s="41"/>
      <c r="F65" s="41"/>
      <c r="G65" s="41"/>
      <c r="H65" s="41"/>
      <c r="I65" s="41"/>
      <c r="J65" s="41"/>
    </row>
    <row r="66" spans="1:10" ht="26">
      <c r="A66" s="43" t="s">
        <v>400</v>
      </c>
      <c r="B66" s="43">
        <v>261.10000000000002</v>
      </c>
      <c r="C66" s="43" t="s">
        <v>631</v>
      </c>
      <c r="D66" s="47">
        <f t="shared" si="13"/>
        <v>0</v>
      </c>
      <c r="E66" s="41"/>
      <c r="F66" s="41"/>
      <c r="G66" s="41"/>
      <c r="H66" s="41"/>
      <c r="I66" s="41"/>
      <c r="J66" s="41"/>
    </row>
    <row r="67" spans="1:10" ht="26">
      <c r="A67" s="43" t="s">
        <v>401</v>
      </c>
      <c r="B67" s="43">
        <v>261.11</v>
      </c>
      <c r="C67" s="43" t="s">
        <v>632</v>
      </c>
      <c r="D67" s="47">
        <f t="shared" si="13"/>
        <v>0</v>
      </c>
      <c r="E67" s="41"/>
      <c r="F67" s="41"/>
      <c r="G67" s="41"/>
      <c r="H67" s="41"/>
      <c r="I67" s="41"/>
      <c r="J67" s="41"/>
    </row>
    <row r="68" spans="1:10">
      <c r="A68" s="43" t="s">
        <v>402</v>
      </c>
      <c r="B68" s="43">
        <v>261.12</v>
      </c>
      <c r="C68" s="43" t="s">
        <v>633</v>
      </c>
      <c r="D68" s="47">
        <f t="shared" si="13"/>
        <v>0</v>
      </c>
      <c r="E68" s="41"/>
      <c r="F68" s="41"/>
      <c r="G68" s="41"/>
      <c r="H68" s="41"/>
      <c r="I68" s="41"/>
      <c r="J68" s="41"/>
    </row>
    <row r="69" spans="1:10">
      <c r="A69" s="43" t="s">
        <v>403</v>
      </c>
      <c r="B69" s="43">
        <v>261.13</v>
      </c>
      <c r="C69" s="43" t="s">
        <v>634</v>
      </c>
      <c r="D69" s="47">
        <f t="shared" si="13"/>
        <v>0</v>
      </c>
      <c r="E69" s="41"/>
      <c r="F69" s="41"/>
      <c r="G69" s="41"/>
      <c r="H69" s="41"/>
      <c r="I69" s="41"/>
      <c r="J69" s="41"/>
    </row>
    <row r="70" spans="1:10" ht="39">
      <c r="A70" s="43" t="s">
        <v>404</v>
      </c>
      <c r="B70" s="43">
        <v>261.14</v>
      </c>
      <c r="C70" s="43" t="s">
        <v>635</v>
      </c>
      <c r="D70" s="47">
        <f t="shared" si="13"/>
        <v>0</v>
      </c>
      <c r="E70" s="41"/>
      <c r="F70" s="41"/>
      <c r="G70" s="41"/>
      <c r="H70" s="41"/>
      <c r="I70" s="41"/>
      <c r="J70" s="41"/>
    </row>
    <row r="71" spans="1:10" ht="26">
      <c r="A71" s="43" t="s">
        <v>405</v>
      </c>
      <c r="B71" s="43">
        <v>261.14999999999998</v>
      </c>
      <c r="C71" s="43" t="s">
        <v>636</v>
      </c>
      <c r="D71" s="47">
        <f t="shared" si="13"/>
        <v>0</v>
      </c>
      <c r="E71" s="41"/>
      <c r="F71" s="41"/>
      <c r="G71" s="41"/>
      <c r="H71" s="41"/>
      <c r="I71" s="41"/>
      <c r="J71" s="41"/>
    </row>
    <row r="72" spans="1:10" ht="104">
      <c r="A72" s="43" t="s">
        <v>406</v>
      </c>
      <c r="B72" s="43">
        <v>261.16000000000003</v>
      </c>
      <c r="C72" s="43" t="s">
        <v>407</v>
      </c>
      <c r="D72" s="47">
        <f t="shared" si="13"/>
        <v>0</v>
      </c>
      <c r="E72" s="41"/>
      <c r="F72" s="41"/>
      <c r="G72" s="41"/>
      <c r="H72" s="41"/>
      <c r="I72" s="41"/>
      <c r="J72" s="41"/>
    </row>
    <row r="73" spans="1:10">
      <c r="A73" s="43" t="s">
        <v>408</v>
      </c>
      <c r="B73" s="43">
        <v>261.17</v>
      </c>
      <c r="C73" s="43" t="s">
        <v>637</v>
      </c>
      <c r="D73" s="47">
        <f t="shared" si="13"/>
        <v>0</v>
      </c>
      <c r="E73" s="41"/>
      <c r="F73" s="41"/>
      <c r="G73" s="41"/>
      <c r="H73" s="41"/>
      <c r="I73" s="41"/>
      <c r="J73" s="41"/>
    </row>
    <row r="74" spans="1:10" ht="78">
      <c r="A74" s="43" t="s">
        <v>409</v>
      </c>
      <c r="B74" s="43">
        <v>261.18</v>
      </c>
      <c r="C74" s="43" t="s">
        <v>638</v>
      </c>
      <c r="D74" s="47">
        <f t="shared" si="13"/>
        <v>0</v>
      </c>
      <c r="E74" s="41"/>
      <c r="F74" s="41"/>
      <c r="G74" s="41"/>
      <c r="H74" s="41"/>
      <c r="I74" s="41"/>
      <c r="J74" s="41"/>
    </row>
    <row r="75" spans="1:10" ht="65">
      <c r="A75" s="43" t="s">
        <v>410</v>
      </c>
      <c r="B75" s="43">
        <v>261.19</v>
      </c>
      <c r="C75" s="43" t="s">
        <v>639</v>
      </c>
      <c r="D75" s="47">
        <f t="shared" si="13"/>
        <v>0</v>
      </c>
      <c r="E75" s="41"/>
      <c r="F75" s="41"/>
      <c r="G75" s="41"/>
      <c r="H75" s="41"/>
      <c r="I75" s="41"/>
      <c r="J75" s="41"/>
    </row>
    <row r="76" spans="1:10" ht="26">
      <c r="A76" s="43" t="s">
        <v>411</v>
      </c>
      <c r="B76" s="43">
        <v>261.2</v>
      </c>
      <c r="C76" s="43" t="s">
        <v>640</v>
      </c>
      <c r="D76" s="47">
        <f t="shared" si="13"/>
        <v>0</v>
      </c>
      <c r="E76" s="41"/>
      <c r="F76" s="41"/>
      <c r="G76" s="41"/>
      <c r="H76" s="41"/>
      <c r="I76" s="41"/>
      <c r="J76" s="41"/>
    </row>
    <row r="77" spans="1:10">
      <c r="A77" s="43" t="s">
        <v>412</v>
      </c>
      <c r="B77" s="43">
        <v>261.20999999999998</v>
      </c>
      <c r="C77" s="43" t="s">
        <v>413</v>
      </c>
      <c r="D77" s="47">
        <f t="shared" si="13"/>
        <v>0</v>
      </c>
      <c r="E77" s="41"/>
      <c r="F77" s="41"/>
      <c r="G77" s="41"/>
      <c r="H77" s="41"/>
      <c r="I77" s="41"/>
      <c r="J77" s="41"/>
    </row>
    <row r="78" spans="1:10" ht="39">
      <c r="A78" s="43" t="s">
        <v>414</v>
      </c>
      <c r="B78" s="43">
        <v>261.22000000000003</v>
      </c>
      <c r="C78" s="43" t="s">
        <v>641</v>
      </c>
      <c r="D78" s="47">
        <f t="shared" si="13"/>
        <v>0</v>
      </c>
      <c r="E78" s="41"/>
      <c r="F78" s="41"/>
      <c r="G78" s="41"/>
      <c r="H78" s="41"/>
      <c r="I78" s="41"/>
      <c r="J78" s="41"/>
    </row>
    <row r="79" spans="1:10" ht="26">
      <c r="A79" s="43" t="s">
        <v>415</v>
      </c>
      <c r="B79" s="43">
        <v>261.23</v>
      </c>
      <c r="C79" s="43" t="s">
        <v>642</v>
      </c>
      <c r="D79" s="47">
        <f t="shared" si="13"/>
        <v>0</v>
      </c>
      <c r="E79" s="41"/>
      <c r="F79" s="41"/>
      <c r="G79" s="41"/>
      <c r="H79" s="41"/>
      <c r="I79" s="41"/>
      <c r="J79" s="41"/>
    </row>
    <row r="80" spans="1:10" ht="117">
      <c r="A80" s="43" t="s">
        <v>416</v>
      </c>
      <c r="B80" s="43">
        <v>261.24</v>
      </c>
      <c r="C80" s="43" t="s">
        <v>417</v>
      </c>
      <c r="D80" s="47">
        <f t="shared" si="13"/>
        <v>0</v>
      </c>
      <c r="E80" s="41"/>
      <c r="F80" s="41"/>
      <c r="G80" s="41"/>
      <c r="H80" s="41"/>
      <c r="I80" s="41"/>
      <c r="J80" s="41"/>
    </row>
    <row r="81" spans="1:10" ht="39">
      <c r="A81" s="43" t="s">
        <v>418</v>
      </c>
      <c r="B81" s="43">
        <v>261.25</v>
      </c>
      <c r="C81" s="43" t="s">
        <v>643</v>
      </c>
      <c r="D81" s="47">
        <f t="shared" si="13"/>
        <v>0</v>
      </c>
      <c r="E81" s="41"/>
      <c r="F81" s="41"/>
      <c r="G81" s="41"/>
      <c r="H81" s="41"/>
      <c r="I81" s="41"/>
      <c r="J81" s="41"/>
    </row>
    <row r="82" spans="1:10">
      <c r="A82" s="43" t="s">
        <v>419</v>
      </c>
      <c r="B82" s="43">
        <v>261.26</v>
      </c>
      <c r="C82" s="43" t="s">
        <v>644</v>
      </c>
      <c r="D82" s="47">
        <f t="shared" si="13"/>
        <v>0</v>
      </c>
      <c r="E82" s="41"/>
      <c r="F82" s="41"/>
      <c r="G82" s="41"/>
      <c r="H82" s="41"/>
      <c r="I82" s="41"/>
      <c r="J82" s="41"/>
    </row>
    <row r="83" spans="1:10" ht="26">
      <c r="A83" s="43" t="s">
        <v>420</v>
      </c>
      <c r="B83" s="43">
        <v>261.27</v>
      </c>
      <c r="C83" s="43" t="s">
        <v>421</v>
      </c>
      <c r="D83" s="47">
        <f t="shared" si="13"/>
        <v>0</v>
      </c>
      <c r="E83" s="41"/>
      <c r="F83" s="41"/>
      <c r="G83" s="41"/>
      <c r="H83" s="41"/>
      <c r="I83" s="41"/>
      <c r="J83" s="41"/>
    </row>
    <row r="84" spans="1:10" ht="52">
      <c r="A84" s="43" t="s">
        <v>422</v>
      </c>
      <c r="B84" s="43">
        <v>261.27999999999997</v>
      </c>
      <c r="C84" s="43" t="s">
        <v>645</v>
      </c>
      <c r="D84" s="47">
        <f t="shared" si="13"/>
        <v>0</v>
      </c>
      <c r="E84" s="41"/>
      <c r="F84" s="41"/>
      <c r="G84" s="41"/>
      <c r="H84" s="41"/>
      <c r="I84" s="41"/>
      <c r="J84" s="41"/>
    </row>
    <row r="85" spans="1:10">
      <c r="A85" s="43" t="s">
        <v>423</v>
      </c>
      <c r="B85" s="43">
        <v>261.29000000000002</v>
      </c>
      <c r="C85" s="43" t="s">
        <v>424</v>
      </c>
      <c r="D85" s="47">
        <f t="shared" si="13"/>
        <v>0</v>
      </c>
      <c r="E85" s="41"/>
      <c r="F85" s="41"/>
      <c r="G85" s="41"/>
      <c r="H85" s="41"/>
      <c r="I85" s="41"/>
      <c r="J85" s="41"/>
    </row>
    <row r="86" spans="1:10" ht="26">
      <c r="A86" s="43" t="s">
        <v>425</v>
      </c>
      <c r="B86" s="43">
        <v>261.3</v>
      </c>
      <c r="C86" s="43" t="s">
        <v>646</v>
      </c>
      <c r="D86" s="47">
        <f t="shared" si="13"/>
        <v>0</v>
      </c>
      <c r="E86" s="41"/>
      <c r="F86" s="41"/>
      <c r="G86" s="41"/>
      <c r="H86" s="41"/>
      <c r="I86" s="41"/>
      <c r="J86" s="41"/>
    </row>
    <row r="87" spans="1:10">
      <c r="A87" s="43" t="s">
        <v>426</v>
      </c>
      <c r="B87" s="43">
        <v>261.31</v>
      </c>
      <c r="C87" s="43" t="s">
        <v>427</v>
      </c>
      <c r="D87" s="47">
        <f t="shared" si="13"/>
        <v>0</v>
      </c>
      <c r="E87" s="41"/>
      <c r="F87" s="41"/>
      <c r="G87" s="41"/>
      <c r="H87" s="41"/>
      <c r="I87" s="41"/>
      <c r="J87" s="41"/>
    </row>
    <row r="88" spans="1:10">
      <c r="A88" s="43" t="s">
        <v>428</v>
      </c>
      <c r="B88" s="43">
        <v>261.32</v>
      </c>
      <c r="C88" s="43" t="s">
        <v>647</v>
      </c>
      <c r="D88" s="47">
        <f t="shared" si="13"/>
        <v>0</v>
      </c>
      <c r="E88" s="41"/>
      <c r="F88" s="41"/>
      <c r="G88" s="41"/>
      <c r="H88" s="41"/>
      <c r="I88" s="41"/>
      <c r="J88" s="41"/>
    </row>
    <row r="89" spans="1:10" ht="26">
      <c r="A89" s="43" t="s">
        <v>429</v>
      </c>
      <c r="B89" s="43">
        <v>261.33</v>
      </c>
      <c r="C89" s="43" t="s">
        <v>648</v>
      </c>
      <c r="D89" s="47">
        <f t="shared" si="13"/>
        <v>0</v>
      </c>
      <c r="E89" s="41"/>
      <c r="F89" s="41"/>
      <c r="G89" s="41"/>
      <c r="H89" s="41"/>
      <c r="I89" s="41"/>
      <c r="J89" s="41"/>
    </row>
    <row r="90" spans="1:10">
      <c r="A90" s="43" t="s">
        <v>430</v>
      </c>
      <c r="B90" s="43">
        <v>261.33999999999997</v>
      </c>
      <c r="C90" s="43" t="s">
        <v>431</v>
      </c>
      <c r="D90" s="47">
        <f t="shared" si="13"/>
        <v>0</v>
      </c>
      <c r="E90" s="41"/>
      <c r="F90" s="41"/>
      <c r="G90" s="41"/>
      <c r="H90" s="41"/>
      <c r="I90" s="41"/>
      <c r="J90" s="41"/>
    </row>
    <row r="91" spans="1:10" ht="26">
      <c r="A91" s="43" t="s">
        <v>432</v>
      </c>
      <c r="B91" s="43">
        <v>261.35000000000002</v>
      </c>
      <c r="C91" s="43" t="s">
        <v>433</v>
      </c>
      <c r="D91" s="47">
        <f t="shared" si="13"/>
        <v>0</v>
      </c>
      <c r="E91" s="41"/>
      <c r="F91" s="41"/>
      <c r="G91" s="41"/>
      <c r="H91" s="41"/>
      <c r="I91" s="41"/>
      <c r="J91" s="41"/>
    </row>
    <row r="92" spans="1:10" ht="26">
      <c r="A92" s="43" t="s">
        <v>434</v>
      </c>
      <c r="B92" s="43">
        <v>261.36</v>
      </c>
      <c r="C92" s="43" t="s">
        <v>649</v>
      </c>
      <c r="D92" s="47">
        <f t="shared" si="13"/>
        <v>0</v>
      </c>
      <c r="E92" s="41"/>
      <c r="F92" s="41"/>
      <c r="G92" s="41"/>
      <c r="H92" s="41"/>
      <c r="I92" s="41"/>
      <c r="J92" s="41"/>
    </row>
    <row r="93" spans="1:10">
      <c r="A93" s="43"/>
      <c r="B93" s="43"/>
      <c r="C93" s="43"/>
      <c r="D93" s="47"/>
      <c r="E93" s="41"/>
      <c r="F93" s="41"/>
      <c r="G93" s="41"/>
      <c r="H93" s="41"/>
      <c r="I93" s="41"/>
      <c r="J93" s="41"/>
    </row>
    <row r="94" spans="1:10">
      <c r="A94" s="43" t="s">
        <v>441</v>
      </c>
      <c r="B94" s="43">
        <v>500</v>
      </c>
      <c r="C94" s="43" t="s">
        <v>340</v>
      </c>
      <c r="D94" s="47">
        <f>SUM(E94:J94)</f>
        <v>0</v>
      </c>
      <c r="E94" s="41"/>
      <c r="F94" s="41"/>
      <c r="G94" s="41"/>
      <c r="H94" s="41"/>
      <c r="I94" s="41"/>
      <c r="J94" s="41"/>
    </row>
    <row r="95" spans="1:10">
      <c r="A95" s="43" t="s">
        <v>442</v>
      </c>
      <c r="B95" s="43">
        <v>600</v>
      </c>
      <c r="C95" s="43" t="s">
        <v>340</v>
      </c>
      <c r="D95" s="47">
        <f>SUM(E95:J95)</f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</row>
  </sheetData>
  <autoFilter ref="A8:J95"/>
  <mergeCells count="5">
    <mergeCell ref="A4:I4"/>
    <mergeCell ref="A6:A7"/>
    <mergeCell ref="B6:B7"/>
    <mergeCell ref="C6:C7"/>
    <mergeCell ref="D6:J6"/>
  </mergeCells>
  <phoneticPr fontId="0" type="noConversion"/>
  <pageMargins left="0.39370078740157483" right="0.39370078740157483" top="0.78740157480314965" bottom="0.39370078740157483" header="0.31496062992125984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7"/>
  <sheetViews>
    <sheetView topLeftCell="A2" zoomScale="130" zoomScaleNormal="130" workbookViewId="0">
      <selection activeCell="D27" sqref="D27"/>
    </sheetView>
  </sheetViews>
  <sheetFormatPr defaultRowHeight="14.5"/>
  <cols>
    <col min="1" max="1" width="74.1796875" customWidth="1"/>
    <col min="2" max="2" width="18.453125" style="5" customWidth="1"/>
  </cols>
  <sheetData>
    <row r="1" spans="1:2" s="39" customFormat="1" ht="15" customHeight="1">
      <c r="A1" s="239" t="s">
        <v>612</v>
      </c>
      <c r="B1" s="239"/>
    </row>
    <row r="2" spans="1:2" s="39" customFormat="1" ht="25.5" customHeight="1">
      <c r="A2" s="238" t="s">
        <v>614</v>
      </c>
      <c r="B2" s="238"/>
    </row>
    <row r="3" spans="1:2" s="39" customFormat="1" ht="26.25" customHeight="1">
      <c r="A3" s="240" t="s">
        <v>727</v>
      </c>
      <c r="B3" s="240"/>
    </row>
    <row r="4" spans="1:2" s="39" customFormat="1" ht="33" customHeight="1">
      <c r="A4" s="238" t="s">
        <v>613</v>
      </c>
      <c r="B4" s="238"/>
    </row>
    <row r="5" spans="1:2" s="39" customFormat="1" ht="14">
      <c r="A5" s="240" t="s">
        <v>728</v>
      </c>
      <c r="B5" s="240"/>
    </row>
    <row r="6" spans="1:2" s="39" customFormat="1" ht="42.65" customHeight="1">
      <c r="A6" s="238" t="s">
        <v>615</v>
      </c>
      <c r="B6" s="238"/>
    </row>
    <row r="7" spans="1:2" s="39" customFormat="1" ht="14">
      <c r="A7" s="40" t="s">
        <v>729</v>
      </c>
      <c r="B7" s="40"/>
    </row>
    <row r="8" spans="1:2">
      <c r="A8" s="235"/>
      <c r="B8" s="235"/>
    </row>
    <row r="9" spans="1:2" ht="15">
      <c r="A9" s="236" t="s">
        <v>311</v>
      </c>
      <c r="B9" s="236"/>
    </row>
    <row r="10" spans="1:2" ht="15">
      <c r="A10" s="236" t="s">
        <v>309</v>
      </c>
      <c r="B10" s="236"/>
    </row>
    <row r="11" spans="1:2" ht="15.5">
      <c r="A11" s="237" t="s">
        <v>697</v>
      </c>
      <c r="B11" s="237"/>
    </row>
    <row r="12" spans="1:2" ht="15.5">
      <c r="A12" s="237" t="s">
        <v>310</v>
      </c>
      <c r="B12" s="237"/>
    </row>
    <row r="13" spans="1:2" ht="15.5">
      <c r="A13" s="234"/>
      <c r="B13" s="234"/>
    </row>
    <row r="14" spans="1:2" s="2" customFormat="1" ht="34.5" customHeight="1">
      <c r="A14" s="3" t="s">
        <v>223</v>
      </c>
      <c r="B14" s="6" t="s">
        <v>616</v>
      </c>
    </row>
    <row r="15" spans="1:2" s="2" customFormat="1" ht="20.149999999999999" customHeight="1">
      <c r="A15" s="8" t="s">
        <v>224</v>
      </c>
      <c r="B15" s="7"/>
    </row>
    <row r="16" spans="1:2" s="2" customFormat="1" ht="20.149999999999999" customHeight="1">
      <c r="A16" s="8" t="s">
        <v>225</v>
      </c>
      <c r="B16" s="7"/>
    </row>
    <row r="17" spans="1:2" s="2" customFormat="1" ht="40" customHeight="1">
      <c r="A17" s="8" t="s">
        <v>226</v>
      </c>
      <c r="B17" s="7"/>
    </row>
    <row r="18" spans="1:2" s="2" customFormat="1" ht="20.149999999999999" hidden="1" customHeight="1">
      <c r="A18" s="8" t="s">
        <v>227</v>
      </c>
      <c r="B18" s="7"/>
    </row>
    <row r="19" spans="1:2" s="2" customFormat="1" ht="40" hidden="1" customHeight="1">
      <c r="A19" s="8" t="s">
        <v>228</v>
      </c>
      <c r="B19" s="7"/>
    </row>
    <row r="20" spans="1:2" s="2" customFormat="1" ht="60" hidden="1" customHeight="1">
      <c r="A20" s="8" t="s">
        <v>229</v>
      </c>
      <c r="B20" s="7"/>
    </row>
    <row r="21" spans="1:2" s="2" customFormat="1" ht="60" hidden="1" customHeight="1">
      <c r="A21" s="8" t="s">
        <v>230</v>
      </c>
      <c r="B21" s="7"/>
    </row>
    <row r="22" spans="1:2" s="2" customFormat="1" ht="40" hidden="1" customHeight="1">
      <c r="A22" s="8" t="s">
        <v>231</v>
      </c>
      <c r="B22" s="7"/>
    </row>
    <row r="23" spans="1:2" s="2" customFormat="1" ht="40" customHeight="1">
      <c r="A23" s="8" t="s">
        <v>232</v>
      </c>
      <c r="B23" s="7" t="s">
        <v>724</v>
      </c>
    </row>
    <row r="24" spans="1:2" s="2" customFormat="1" ht="20.149999999999999" customHeight="1">
      <c r="A24" s="8" t="s">
        <v>227</v>
      </c>
      <c r="B24" s="7"/>
    </row>
    <row r="25" spans="1:2" s="2" customFormat="1" ht="40" customHeight="1">
      <c r="A25" s="8" t="s">
        <v>233</v>
      </c>
      <c r="B25" s="7" t="s">
        <v>725</v>
      </c>
    </row>
    <row r="26" spans="1:2" s="2" customFormat="1" ht="40" customHeight="1">
      <c r="A26" s="8" t="s">
        <v>234</v>
      </c>
      <c r="B26" s="7" t="s">
        <v>726</v>
      </c>
    </row>
    <row r="27" spans="1:2" s="2" customFormat="1" ht="20.149999999999999" customHeight="1">
      <c r="A27" s="8" t="s">
        <v>235</v>
      </c>
      <c r="B27" s="7"/>
    </row>
    <row r="28" spans="1:2" s="2" customFormat="1" ht="20.149999999999999" customHeight="1">
      <c r="A28" s="8" t="s">
        <v>225</v>
      </c>
      <c r="B28" s="7"/>
    </row>
    <row r="29" spans="1:2" s="2" customFormat="1" ht="20.149999999999999" customHeight="1">
      <c r="A29" s="8" t="s">
        <v>236</v>
      </c>
      <c r="B29" s="7"/>
    </row>
    <row r="30" spans="1:2" s="2" customFormat="1" ht="20.149999999999999" customHeight="1">
      <c r="A30" s="8" t="s">
        <v>227</v>
      </c>
      <c r="B30" s="7"/>
    </row>
    <row r="31" spans="1:2" s="2" customFormat="1" ht="40" hidden="1" customHeight="1">
      <c r="A31" s="8" t="s">
        <v>237</v>
      </c>
      <c r="B31" s="7"/>
    </row>
    <row r="32" spans="1:2" s="2" customFormat="1" ht="40" hidden="1" customHeight="1">
      <c r="A32" s="8" t="s">
        <v>238</v>
      </c>
      <c r="B32" s="7"/>
    </row>
    <row r="33" spans="1:2" s="2" customFormat="1" ht="40" hidden="1" customHeight="1">
      <c r="A33" s="8" t="s">
        <v>239</v>
      </c>
      <c r="B33" s="7"/>
    </row>
    <row r="34" spans="1:2" s="2" customFormat="1" ht="20.149999999999999" customHeight="1">
      <c r="A34" s="8" t="s">
        <v>240</v>
      </c>
      <c r="B34" s="7"/>
    </row>
    <row r="35" spans="1:2" s="2" customFormat="1" ht="20.149999999999999" hidden="1" customHeight="1">
      <c r="A35" s="8" t="s">
        <v>227</v>
      </c>
      <c r="B35" s="7"/>
    </row>
    <row r="36" spans="1:2" s="2" customFormat="1" ht="40" hidden="1" customHeight="1">
      <c r="A36" s="8" t="s">
        <v>241</v>
      </c>
      <c r="B36" s="7"/>
    </row>
    <row r="37" spans="1:2" s="2" customFormat="1" ht="20.149999999999999" customHeight="1">
      <c r="A37" s="8" t="s">
        <v>242</v>
      </c>
      <c r="B37" s="7"/>
    </row>
    <row r="38" spans="1:2" s="2" customFormat="1" ht="20.149999999999999" hidden="1" customHeight="1">
      <c r="A38" s="8" t="s">
        <v>227</v>
      </c>
      <c r="B38" s="7"/>
    </row>
    <row r="39" spans="1:2" s="2" customFormat="1" ht="60" hidden="1" customHeight="1">
      <c r="A39" s="8" t="s">
        <v>243</v>
      </c>
      <c r="B39" s="7"/>
    </row>
    <row r="40" spans="1:2" s="2" customFormat="1" ht="20.149999999999999" hidden="1" customHeight="1">
      <c r="A40" s="8" t="s">
        <v>225</v>
      </c>
      <c r="B40" s="7"/>
    </row>
    <row r="41" spans="1:2" s="2" customFormat="1" ht="40" hidden="1" customHeight="1">
      <c r="A41" s="8" t="s">
        <v>244</v>
      </c>
      <c r="B41" s="7"/>
    </row>
    <row r="42" spans="1:2" s="2" customFormat="1" ht="40" hidden="1" customHeight="1">
      <c r="A42" s="8" t="s">
        <v>245</v>
      </c>
      <c r="B42" s="7"/>
    </row>
    <row r="43" spans="1:2" s="2" customFormat="1" ht="40" hidden="1" customHeight="1">
      <c r="A43" s="8" t="s">
        <v>246</v>
      </c>
      <c r="B43" s="7"/>
    </row>
    <row r="44" spans="1:2" s="2" customFormat="1" ht="40" hidden="1" customHeight="1">
      <c r="A44" s="8" t="s">
        <v>247</v>
      </c>
      <c r="B44" s="7"/>
    </row>
    <row r="45" spans="1:2" s="2" customFormat="1" ht="40" hidden="1" customHeight="1">
      <c r="A45" s="8" t="s">
        <v>248</v>
      </c>
      <c r="B45" s="7"/>
    </row>
    <row r="46" spans="1:2" s="2" customFormat="1" ht="20.149999999999999" hidden="1" customHeight="1">
      <c r="A46" s="8" t="s">
        <v>225</v>
      </c>
      <c r="B46" s="7"/>
    </row>
    <row r="47" spans="1:2" s="2" customFormat="1" ht="20.149999999999999" hidden="1" customHeight="1">
      <c r="A47" s="8" t="s">
        <v>249</v>
      </c>
      <c r="B47" s="7"/>
    </row>
    <row r="48" spans="1:2" s="2" customFormat="1" ht="20.149999999999999" hidden="1" customHeight="1">
      <c r="A48" s="8" t="s">
        <v>250</v>
      </c>
      <c r="B48" s="7"/>
    </row>
    <row r="49" spans="1:2" s="2" customFormat="1" ht="40" hidden="1" customHeight="1">
      <c r="A49" s="8" t="s">
        <v>251</v>
      </c>
      <c r="B49" s="7"/>
    </row>
    <row r="50" spans="1:2" s="2" customFormat="1" ht="40" hidden="1" customHeight="1">
      <c r="A50" s="8" t="s">
        <v>252</v>
      </c>
      <c r="B50" s="7"/>
    </row>
    <row r="51" spans="1:2" s="2" customFormat="1" ht="20.149999999999999" hidden="1" customHeight="1">
      <c r="A51" s="8" t="s">
        <v>253</v>
      </c>
      <c r="B51" s="7"/>
    </row>
    <row r="52" spans="1:2" s="2" customFormat="1" ht="40" hidden="1" customHeight="1">
      <c r="A52" s="8" t="s">
        <v>254</v>
      </c>
      <c r="B52" s="7"/>
    </row>
    <row r="53" spans="1:2" s="2" customFormat="1" ht="40" hidden="1" customHeight="1">
      <c r="A53" s="8" t="s">
        <v>255</v>
      </c>
      <c r="B53" s="7"/>
    </row>
    <row r="54" spans="1:2" s="2" customFormat="1" ht="20.149999999999999" hidden="1" customHeight="1">
      <c r="A54" s="8" t="s">
        <v>225</v>
      </c>
      <c r="B54" s="7"/>
    </row>
    <row r="55" spans="1:2" s="2" customFormat="1" ht="20.149999999999999" hidden="1" customHeight="1">
      <c r="A55" s="8" t="s">
        <v>256</v>
      </c>
      <c r="B55" s="7"/>
    </row>
    <row r="56" spans="1:2" s="2" customFormat="1" ht="40" hidden="1" customHeight="1">
      <c r="A56" s="8" t="s">
        <v>257</v>
      </c>
      <c r="B56" s="7"/>
    </row>
    <row r="57" spans="1:2" s="2" customFormat="1" ht="40" hidden="1" customHeight="1">
      <c r="A57" s="8" t="s">
        <v>258</v>
      </c>
      <c r="B57" s="7"/>
    </row>
    <row r="58" spans="1:2" s="2" customFormat="1" ht="20.149999999999999" hidden="1" customHeight="1">
      <c r="A58" s="8" t="s">
        <v>259</v>
      </c>
      <c r="B58" s="7"/>
    </row>
    <row r="59" spans="1:2" s="2" customFormat="1" ht="40" hidden="1" customHeight="1">
      <c r="A59" s="8" t="s">
        <v>260</v>
      </c>
      <c r="B59" s="7"/>
    </row>
    <row r="60" spans="1:2" s="2" customFormat="1" ht="20.149999999999999" customHeight="1">
      <c r="A60" s="8" t="s">
        <v>261</v>
      </c>
      <c r="B60" s="7"/>
    </row>
    <row r="61" spans="1:2" s="2" customFormat="1" ht="20.149999999999999" customHeight="1">
      <c r="A61" s="8" t="s">
        <v>225</v>
      </c>
      <c r="B61" s="7"/>
    </row>
    <row r="62" spans="1:2" s="2" customFormat="1" ht="20.149999999999999" customHeight="1">
      <c r="A62" s="8" t="s">
        <v>262</v>
      </c>
      <c r="B62" s="7"/>
    </row>
    <row r="63" spans="1:2" s="2" customFormat="1" ht="20.149999999999999" hidden="1" customHeight="1">
      <c r="A63" s="8" t="s">
        <v>227</v>
      </c>
      <c r="B63" s="7"/>
    </row>
    <row r="64" spans="1:2" s="2" customFormat="1" ht="40" hidden="1" customHeight="1">
      <c r="A64" s="8" t="s">
        <v>263</v>
      </c>
      <c r="B64" s="7"/>
    </row>
    <row r="65" spans="1:2" s="2" customFormat="1" ht="20.149999999999999" hidden="1" customHeight="1">
      <c r="A65" s="8" t="s">
        <v>225</v>
      </c>
      <c r="B65" s="7"/>
    </row>
    <row r="66" spans="1:2" s="2" customFormat="1" ht="20.149999999999999" hidden="1" customHeight="1">
      <c r="A66" s="8" t="s">
        <v>264</v>
      </c>
      <c r="B66" s="7"/>
    </row>
    <row r="67" spans="1:2" s="2" customFormat="1" ht="20.149999999999999" hidden="1" customHeight="1">
      <c r="A67" s="8" t="s">
        <v>265</v>
      </c>
      <c r="B67" s="7"/>
    </row>
    <row r="68" spans="1:2" s="2" customFormat="1" ht="20.149999999999999" hidden="1" customHeight="1">
      <c r="A68" s="8" t="s">
        <v>266</v>
      </c>
      <c r="B68" s="7"/>
    </row>
    <row r="69" spans="1:2" s="2" customFormat="1" ht="20.149999999999999" hidden="1" customHeight="1">
      <c r="A69" s="8" t="s">
        <v>267</v>
      </c>
      <c r="B69" s="7"/>
    </row>
    <row r="70" spans="1:2" s="2" customFormat="1" ht="20.149999999999999" hidden="1" customHeight="1">
      <c r="A70" s="8" t="s">
        <v>268</v>
      </c>
      <c r="B70" s="7"/>
    </row>
    <row r="71" spans="1:2" s="2" customFormat="1" ht="20.149999999999999" hidden="1" customHeight="1">
      <c r="A71" s="8" t="s">
        <v>269</v>
      </c>
      <c r="B71" s="7"/>
    </row>
    <row r="72" spans="1:2" s="2" customFormat="1" ht="20.149999999999999" hidden="1" customHeight="1">
      <c r="A72" s="8" t="s">
        <v>270</v>
      </c>
      <c r="B72" s="7"/>
    </row>
    <row r="73" spans="1:2" s="2" customFormat="1" ht="20.149999999999999" hidden="1" customHeight="1">
      <c r="A73" s="8" t="s">
        <v>271</v>
      </c>
      <c r="B73" s="7"/>
    </row>
    <row r="74" spans="1:2" s="2" customFormat="1" ht="20.149999999999999" hidden="1" customHeight="1">
      <c r="A74" s="8" t="s">
        <v>272</v>
      </c>
      <c r="B74" s="7"/>
    </row>
    <row r="75" spans="1:2" s="2" customFormat="1" ht="20.149999999999999" hidden="1" customHeight="1">
      <c r="A75" s="8" t="s">
        <v>225</v>
      </c>
      <c r="B75" s="7"/>
    </row>
    <row r="76" spans="1:2" s="2" customFormat="1" ht="20.149999999999999" hidden="1" customHeight="1">
      <c r="A76" s="8" t="s">
        <v>273</v>
      </c>
      <c r="B76" s="7"/>
    </row>
    <row r="77" spans="1:2" s="2" customFormat="1" ht="20.149999999999999" hidden="1" customHeight="1">
      <c r="A77" s="8" t="s">
        <v>274</v>
      </c>
      <c r="B77" s="7"/>
    </row>
    <row r="78" spans="1:2" s="2" customFormat="1" ht="20.149999999999999" hidden="1" customHeight="1">
      <c r="A78" s="8" t="s">
        <v>275</v>
      </c>
      <c r="B78" s="7"/>
    </row>
    <row r="79" spans="1:2" s="2" customFormat="1" ht="20.149999999999999" hidden="1" customHeight="1">
      <c r="A79" s="8" t="s">
        <v>276</v>
      </c>
      <c r="B79" s="7"/>
    </row>
    <row r="80" spans="1:2" s="2" customFormat="1" ht="20.149999999999999" hidden="1" customHeight="1">
      <c r="A80" s="8" t="s">
        <v>277</v>
      </c>
      <c r="B80" s="7"/>
    </row>
    <row r="81" spans="1:2" s="2" customFormat="1" ht="20.149999999999999" hidden="1" customHeight="1">
      <c r="A81" s="8" t="s">
        <v>278</v>
      </c>
      <c r="B81" s="7"/>
    </row>
    <row r="82" spans="1:2" s="2" customFormat="1" ht="20.149999999999999" hidden="1" customHeight="1">
      <c r="A82" s="8" t="s">
        <v>279</v>
      </c>
      <c r="B82" s="7"/>
    </row>
    <row r="83" spans="1:2" s="2" customFormat="1" ht="20.149999999999999" hidden="1" customHeight="1">
      <c r="A83" s="8" t="s">
        <v>280</v>
      </c>
      <c r="B83" s="7"/>
    </row>
    <row r="84" spans="1:2" s="2" customFormat="1" ht="20.149999999999999" hidden="1" customHeight="1">
      <c r="A84" s="8" t="s">
        <v>281</v>
      </c>
      <c r="B84" s="7"/>
    </row>
    <row r="85" spans="1:2" s="2" customFormat="1" ht="20.149999999999999" hidden="1" customHeight="1">
      <c r="A85" s="8" t="s">
        <v>225</v>
      </c>
      <c r="B85" s="7"/>
    </row>
    <row r="86" spans="1:2" s="2" customFormat="1" ht="20.149999999999999" hidden="1" customHeight="1">
      <c r="A86" s="8" t="s">
        <v>282</v>
      </c>
      <c r="B86" s="7"/>
    </row>
    <row r="87" spans="1:2" s="2" customFormat="1" ht="20.149999999999999" hidden="1" customHeight="1">
      <c r="A87" s="8" t="s">
        <v>283</v>
      </c>
      <c r="B87" s="7"/>
    </row>
    <row r="88" spans="1:2" s="2" customFormat="1" ht="20.149999999999999" hidden="1" customHeight="1">
      <c r="A88" s="8" t="s">
        <v>284</v>
      </c>
      <c r="B88" s="7"/>
    </row>
    <row r="89" spans="1:2" s="2" customFormat="1" ht="20.149999999999999" hidden="1" customHeight="1">
      <c r="A89" s="8" t="s">
        <v>285</v>
      </c>
      <c r="B89" s="7"/>
    </row>
    <row r="90" spans="1:2" s="2" customFormat="1" ht="20.149999999999999" hidden="1" customHeight="1">
      <c r="A90" s="8" t="s">
        <v>286</v>
      </c>
      <c r="B90" s="7"/>
    </row>
    <row r="91" spans="1:2" s="2" customFormat="1" ht="20.149999999999999" hidden="1" customHeight="1">
      <c r="A91" s="8" t="s">
        <v>287</v>
      </c>
      <c r="B91" s="7"/>
    </row>
    <row r="92" spans="1:2" s="2" customFormat="1" ht="20.149999999999999" hidden="1" customHeight="1">
      <c r="A92" s="8" t="s">
        <v>288</v>
      </c>
      <c r="B92" s="7"/>
    </row>
    <row r="93" spans="1:2" s="2" customFormat="1" ht="20.149999999999999" hidden="1" customHeight="1">
      <c r="A93" s="8" t="s">
        <v>289</v>
      </c>
      <c r="B93" s="7"/>
    </row>
    <row r="94" spans="1:2" s="2" customFormat="1" ht="60" customHeight="1">
      <c r="A94" s="8" t="s">
        <v>290</v>
      </c>
      <c r="B94" s="7"/>
    </row>
    <row r="95" spans="1:2" s="2" customFormat="1" ht="20.149999999999999" hidden="1" customHeight="1">
      <c r="A95" s="8" t="s">
        <v>225</v>
      </c>
      <c r="B95" s="7"/>
    </row>
    <row r="96" spans="1:2" s="2" customFormat="1" ht="20.149999999999999" hidden="1" customHeight="1">
      <c r="A96" s="8" t="s">
        <v>291</v>
      </c>
      <c r="B96" s="7"/>
    </row>
    <row r="97" spans="1:2" s="2" customFormat="1" ht="20.149999999999999" hidden="1" customHeight="1">
      <c r="A97" s="8" t="s">
        <v>292</v>
      </c>
      <c r="B97" s="7"/>
    </row>
    <row r="98" spans="1:2" s="2" customFormat="1" ht="20.149999999999999" hidden="1" customHeight="1">
      <c r="A98" s="8" t="s">
        <v>293</v>
      </c>
      <c r="B98" s="7"/>
    </row>
    <row r="99" spans="1:2" s="2" customFormat="1" ht="20.149999999999999" hidden="1" customHeight="1">
      <c r="A99" s="8" t="s">
        <v>294</v>
      </c>
      <c r="B99" s="7"/>
    </row>
    <row r="100" spans="1:2" s="2" customFormat="1" ht="60" customHeight="1">
      <c r="A100" s="8" t="s">
        <v>295</v>
      </c>
      <c r="B100" s="7"/>
    </row>
    <row r="101" spans="1:2" s="2" customFormat="1" ht="20.149999999999999" hidden="1" customHeight="1">
      <c r="A101" s="8" t="s">
        <v>225</v>
      </c>
      <c r="B101" s="7"/>
    </row>
    <row r="102" spans="1:2" s="2" customFormat="1" ht="20.149999999999999" hidden="1" customHeight="1">
      <c r="A102" s="8" t="s">
        <v>296</v>
      </c>
      <c r="B102" s="7"/>
    </row>
    <row r="103" spans="1:2" s="2" customFormat="1" ht="20.149999999999999" hidden="1" customHeight="1">
      <c r="A103" s="8" t="s">
        <v>297</v>
      </c>
      <c r="B103" s="7"/>
    </row>
    <row r="104" spans="1:2" s="2" customFormat="1" ht="20.149999999999999" hidden="1" customHeight="1">
      <c r="A104" s="8" t="s">
        <v>298</v>
      </c>
      <c r="B104" s="7"/>
    </row>
    <row r="105" spans="1:2" s="2" customFormat="1" ht="20.149999999999999" hidden="1" customHeight="1">
      <c r="A105" s="8" t="s">
        <v>299</v>
      </c>
      <c r="B105" s="7"/>
    </row>
    <row r="106" spans="1:2" s="2" customFormat="1" ht="40" hidden="1" customHeight="1">
      <c r="A106" s="8" t="s">
        <v>300</v>
      </c>
      <c r="B106" s="7"/>
    </row>
    <row r="107" spans="1:2" s="2" customFormat="1" ht="40" hidden="1" customHeight="1">
      <c r="A107" s="8" t="s">
        <v>301</v>
      </c>
      <c r="B107" s="7"/>
    </row>
    <row r="108" spans="1:2" s="2" customFormat="1" ht="20.149999999999999" hidden="1" customHeight="1">
      <c r="A108" s="8" t="s">
        <v>302</v>
      </c>
      <c r="B108" s="7"/>
    </row>
    <row r="109" spans="1:2" s="2" customFormat="1" ht="20.149999999999999" hidden="1" customHeight="1">
      <c r="A109" s="8" t="s">
        <v>303</v>
      </c>
      <c r="B109" s="7"/>
    </row>
    <row r="110" spans="1:2" s="2" customFormat="1" ht="40" customHeight="1">
      <c r="A110" s="8" t="s">
        <v>304</v>
      </c>
      <c r="B110" s="7"/>
    </row>
    <row r="111" spans="1:2" s="2" customFormat="1" ht="20.149999999999999" hidden="1" customHeight="1">
      <c r="A111" s="8" t="s">
        <v>225</v>
      </c>
      <c r="B111" s="7"/>
    </row>
    <row r="112" spans="1:2" s="2" customFormat="1" ht="20.149999999999999" hidden="1" customHeight="1">
      <c r="A112" s="8" t="s">
        <v>305</v>
      </c>
      <c r="B112" s="7"/>
    </row>
    <row r="113" spans="1:2" s="2" customFormat="1" ht="40" hidden="1" customHeight="1">
      <c r="A113" s="8" t="s">
        <v>306</v>
      </c>
      <c r="B113" s="7"/>
    </row>
    <row r="114" spans="1:2" s="2" customFormat="1" ht="40" hidden="1" customHeight="1">
      <c r="A114" s="8" t="s">
        <v>307</v>
      </c>
      <c r="B114" s="7"/>
    </row>
    <row r="115" spans="1:2" s="2" customFormat="1" ht="20.149999999999999" hidden="1" customHeight="1">
      <c r="A115" s="8" t="s">
        <v>308</v>
      </c>
      <c r="B115" s="7"/>
    </row>
    <row r="116" spans="1:2">
      <c r="A116" s="1"/>
    </row>
    <row r="117" spans="1:2">
      <c r="A117" s="1"/>
    </row>
  </sheetData>
  <mergeCells count="12">
    <mergeCell ref="A6:B6"/>
    <mergeCell ref="A1:B1"/>
    <mergeCell ref="A2:B2"/>
    <mergeCell ref="A3:B3"/>
    <mergeCell ref="A4:B4"/>
    <mergeCell ref="A5:B5"/>
    <mergeCell ref="A13:B13"/>
    <mergeCell ref="A8:B8"/>
    <mergeCell ref="A9:B9"/>
    <mergeCell ref="A10:B10"/>
    <mergeCell ref="A12:B12"/>
    <mergeCell ref="A11:B11"/>
  </mergeCells>
  <phoneticPr fontId="0" type="noConversion"/>
  <pageMargins left="0.98425196850393704" right="0.47244094488188981" top="0.47244094488188981" bottom="0.47244094488188981" header="0.19685039370078741" footer="0.19685039370078741"/>
  <pageSetup paperSize="9" scale="90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47"/>
  <sheetViews>
    <sheetView workbookViewId="0">
      <selection activeCell="F64" sqref="F64"/>
    </sheetView>
  </sheetViews>
  <sheetFormatPr defaultRowHeight="14.5"/>
  <sheetData>
    <row r="1" spans="1:2" ht="18.5">
      <c r="A1" s="64" t="s">
        <v>708</v>
      </c>
    </row>
    <row r="2" spans="1:2" ht="18.5">
      <c r="A2" s="65" t="s">
        <v>710</v>
      </c>
    </row>
    <row r="3" spans="1:2" ht="18.5">
      <c r="A3" s="65" t="s">
        <v>709</v>
      </c>
    </row>
    <row r="5" spans="1:2" ht="18.5">
      <c r="A5" s="64" t="s">
        <v>711</v>
      </c>
    </row>
    <row r="6" spans="1:2">
      <c r="A6" s="60" t="s">
        <v>666</v>
      </c>
    </row>
    <row r="7" spans="1:2">
      <c r="B7" t="s">
        <v>654</v>
      </c>
    </row>
    <row r="9" spans="1:2">
      <c r="B9" t="s">
        <v>655</v>
      </c>
    </row>
    <row r="11" spans="1:2">
      <c r="B11" t="s">
        <v>705</v>
      </c>
    </row>
    <row r="13" spans="1:2">
      <c r="B13" t="s">
        <v>706</v>
      </c>
    </row>
    <row r="15" spans="1:2">
      <c r="B15" t="s">
        <v>656</v>
      </c>
    </row>
    <row r="16" spans="1:2">
      <c r="A16" s="60"/>
    </row>
    <row r="17" spans="1:2">
      <c r="A17" s="60" t="s">
        <v>667</v>
      </c>
    </row>
    <row r="18" spans="1:2">
      <c r="B18" t="s">
        <v>668</v>
      </c>
    </row>
    <row r="20" spans="1:2">
      <c r="B20" t="s">
        <v>668</v>
      </c>
    </row>
    <row r="22" spans="1:2">
      <c r="B22" t="s">
        <v>669</v>
      </c>
    </row>
    <row r="24" spans="1:2">
      <c r="B24" t="s">
        <v>670</v>
      </c>
    </row>
    <row r="26" spans="1:2">
      <c r="B26" t="s">
        <v>707</v>
      </c>
    </row>
    <row r="28" spans="1:2">
      <c r="B28" t="s">
        <v>671</v>
      </c>
    </row>
    <row r="30" spans="1:2">
      <c r="A30" s="60" t="s">
        <v>687</v>
      </c>
    </row>
    <row r="31" spans="1:2">
      <c r="B31" t="s">
        <v>688</v>
      </c>
    </row>
    <row r="33" spans="2:2">
      <c r="B33" t="s">
        <v>689</v>
      </c>
    </row>
    <row r="35" spans="2:2">
      <c r="B35" t="s">
        <v>690</v>
      </c>
    </row>
    <row r="37" spans="2:2">
      <c r="B37" t="s">
        <v>691</v>
      </c>
    </row>
    <row r="39" spans="2:2">
      <c r="B39" t="s">
        <v>692</v>
      </c>
    </row>
    <row r="41" spans="2:2">
      <c r="B41" t="s">
        <v>693</v>
      </c>
    </row>
    <row r="43" spans="2:2">
      <c r="B43" t="s">
        <v>695</v>
      </c>
    </row>
    <row r="45" spans="2:2">
      <c r="B45" t="s">
        <v>694</v>
      </c>
    </row>
    <row r="47" spans="2:2">
      <c r="B47" t="s">
        <v>696</v>
      </c>
    </row>
  </sheetData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64" sqref="F64"/>
    </sheetView>
  </sheetViews>
  <sheetFormatPr defaultRowHeight="14.5"/>
  <cols>
    <col min="1" max="1" width="50.7265625" customWidth="1"/>
  </cols>
  <sheetData>
    <row r="1" spans="1:1">
      <c r="A1" t="s">
        <v>149</v>
      </c>
    </row>
  </sheetData>
  <phoneticPr fontId="0" type="noConversion"/>
  <pageMargins left="1.1023622047244095" right="0.70866141732283472" top="9.4094488188976388" bottom="0.74803149606299213" header="0.31496062992125984" footer="0.31496062992125984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0000"/>
  </sheetPr>
  <dimension ref="A2:AB146"/>
  <sheetViews>
    <sheetView zoomScaleNormal="100" workbookViewId="0">
      <pane xSplit="4" ySplit="9" topLeftCell="E119" activePane="bottomRight" state="frozen"/>
      <selection pane="topRight" activeCell="E1" sqref="E1"/>
      <selection pane="bottomLeft" activeCell="A10" sqref="A10"/>
      <selection pane="bottomRight" activeCell="Z136" sqref="Z136"/>
    </sheetView>
  </sheetViews>
  <sheetFormatPr defaultColWidth="9.1796875" defaultRowHeight="14.5"/>
  <cols>
    <col min="1" max="1" width="27" style="70" customWidth="1"/>
    <col min="2" max="2" width="5.81640625" style="70" customWidth="1"/>
    <col min="3" max="3" width="10.54296875" style="70" customWidth="1"/>
    <col min="4" max="4" width="11.54296875" style="70" customWidth="1"/>
    <col min="5" max="5" width="11.7265625" style="70" customWidth="1"/>
    <col min="6" max="6" width="10.54296875" style="70" customWidth="1"/>
    <col min="7" max="7" width="11.453125" style="70" hidden="1" customWidth="1"/>
    <col min="8" max="8" width="11.81640625" style="215" customWidth="1"/>
    <col min="9" max="9" width="11.453125" style="70" hidden="1" customWidth="1"/>
    <col min="10" max="10" width="10" style="70" customWidth="1"/>
    <col min="11" max="11" width="11.26953125" style="70" customWidth="1"/>
    <col min="12" max="12" width="10.26953125" style="70" customWidth="1"/>
    <col min="13" max="13" width="7.7265625" style="70" customWidth="1"/>
    <col min="14" max="14" width="9.26953125" style="70" hidden="1" customWidth="1"/>
    <col min="15" max="15" width="11.453125" style="70" hidden="1" customWidth="1"/>
    <col min="16" max="16" width="8.453125" style="70" customWidth="1"/>
    <col min="17" max="17" width="10.7265625" style="70" customWidth="1"/>
    <col min="18" max="18" width="6.7265625" style="70" customWidth="1"/>
    <col min="19" max="19" width="11.453125" style="70" hidden="1" customWidth="1"/>
    <col min="20" max="20" width="8.453125" style="70" customWidth="1"/>
    <col min="21" max="24" width="11.453125" style="70" customWidth="1"/>
    <col min="25" max="25" width="8.453125" style="70" customWidth="1"/>
    <col min="26" max="26" width="6.81640625" style="70" customWidth="1"/>
    <col min="27" max="27" width="11.453125" style="70" customWidth="1"/>
    <col min="28" max="28" width="12.81640625" style="70" bestFit="1" customWidth="1"/>
    <col min="29" max="16384" width="9.1796875" style="70"/>
  </cols>
  <sheetData>
    <row r="2" spans="1:28" ht="15.5">
      <c r="A2" s="247" t="s">
        <v>452</v>
      </c>
      <c r="B2" s="247"/>
      <c r="C2" s="247"/>
      <c r="D2" s="247"/>
      <c r="E2" s="247"/>
      <c r="F2" s="247"/>
      <c r="G2" s="247"/>
      <c r="H2" s="247"/>
      <c r="I2" s="247"/>
      <c r="J2" s="247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8" ht="15.5">
      <c r="A3" s="247" t="s">
        <v>214</v>
      </c>
      <c r="B3" s="247"/>
      <c r="C3" s="247"/>
      <c r="D3" s="247"/>
      <c r="E3" s="247"/>
      <c r="F3" s="247"/>
      <c r="G3" s="247"/>
      <c r="H3" s="247"/>
      <c r="I3" s="247"/>
      <c r="J3" s="247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8" ht="15.5">
      <c r="A4" s="72"/>
      <c r="B4" s="72"/>
      <c r="C4" s="72"/>
      <c r="D4" s="72"/>
      <c r="E4" s="72"/>
      <c r="F4" s="72"/>
      <c r="G4" s="72"/>
      <c r="H4" s="207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8">
      <c r="A5" s="248" t="s">
        <v>443</v>
      </c>
      <c r="B5" s="248" t="s">
        <v>444</v>
      </c>
      <c r="C5" s="248" t="s">
        <v>445</v>
      </c>
      <c r="D5" s="248" t="s">
        <v>446</v>
      </c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</row>
    <row r="6" spans="1:28">
      <c r="A6" s="248"/>
      <c r="B6" s="248"/>
      <c r="C6" s="248"/>
      <c r="D6" s="244" t="s">
        <v>447</v>
      </c>
      <c r="E6" s="248" t="s">
        <v>227</v>
      </c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</row>
    <row r="7" spans="1:28" ht="36.75" customHeight="1">
      <c r="A7" s="248"/>
      <c r="B7" s="248"/>
      <c r="C7" s="248"/>
      <c r="D7" s="249"/>
      <c r="E7" s="241" t="s">
        <v>448</v>
      </c>
      <c r="F7" s="242"/>
      <c r="G7" s="242"/>
      <c r="H7" s="242"/>
      <c r="I7" s="242"/>
      <c r="J7" s="243"/>
      <c r="K7" s="241" t="s">
        <v>449</v>
      </c>
      <c r="L7" s="242"/>
      <c r="M7" s="242"/>
      <c r="N7" s="242"/>
      <c r="O7" s="242"/>
      <c r="P7" s="242"/>
      <c r="Q7" s="242"/>
      <c r="R7" s="243"/>
      <c r="S7" s="244" t="s">
        <v>450</v>
      </c>
      <c r="T7" s="246" t="s">
        <v>451</v>
      </c>
      <c r="U7" s="246"/>
      <c r="V7" s="246"/>
      <c r="W7" s="246"/>
      <c r="X7" s="246"/>
      <c r="Y7" s="246"/>
      <c r="Z7" s="246"/>
    </row>
    <row r="8" spans="1:28" ht="191.25" customHeight="1">
      <c r="A8" s="248"/>
      <c r="B8" s="248"/>
      <c r="C8" s="248"/>
      <c r="D8" s="245"/>
      <c r="E8" s="87" t="s">
        <v>650</v>
      </c>
      <c r="F8" s="73" t="s">
        <v>651</v>
      </c>
      <c r="G8" s="73" t="s">
        <v>719</v>
      </c>
      <c r="H8" s="208" t="s">
        <v>653</v>
      </c>
      <c r="I8" s="73" t="s">
        <v>652</v>
      </c>
      <c r="J8" s="73" t="s">
        <v>705</v>
      </c>
      <c r="K8" s="87" t="s">
        <v>650</v>
      </c>
      <c r="L8" s="73" t="s">
        <v>662</v>
      </c>
      <c r="M8" s="73" t="s">
        <v>661</v>
      </c>
      <c r="N8" s="73" t="s">
        <v>663</v>
      </c>
      <c r="O8" s="73" t="s">
        <v>664</v>
      </c>
      <c r="P8" s="73" t="s">
        <v>665</v>
      </c>
      <c r="Q8" s="73" t="s">
        <v>715</v>
      </c>
      <c r="R8" s="73" t="s">
        <v>723</v>
      </c>
      <c r="S8" s="245"/>
      <c r="T8" s="88" t="s">
        <v>447</v>
      </c>
      <c r="U8" s="88" t="s">
        <v>672</v>
      </c>
      <c r="V8" s="88" t="s">
        <v>673</v>
      </c>
      <c r="W8" s="88" t="s">
        <v>674</v>
      </c>
      <c r="X8" s="88" t="s">
        <v>695</v>
      </c>
      <c r="Y8" s="88" t="s">
        <v>675</v>
      </c>
      <c r="Z8" s="88" t="s">
        <v>153</v>
      </c>
    </row>
    <row r="9" spans="1:28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209">
        <v>8</v>
      </c>
      <c r="I9" s="74">
        <v>9</v>
      </c>
      <c r="J9" s="75">
        <v>10</v>
      </c>
      <c r="K9" s="75">
        <v>11</v>
      </c>
      <c r="L9" s="74">
        <v>12</v>
      </c>
      <c r="M9" s="75">
        <v>13</v>
      </c>
      <c r="N9" s="75">
        <v>14</v>
      </c>
      <c r="O9" s="74">
        <v>15</v>
      </c>
      <c r="P9" s="75">
        <v>16</v>
      </c>
      <c r="Q9" s="75">
        <v>17</v>
      </c>
      <c r="R9" s="74">
        <v>18</v>
      </c>
      <c r="S9" s="75">
        <v>19</v>
      </c>
      <c r="T9" s="75">
        <v>20</v>
      </c>
      <c r="U9" s="75">
        <v>21</v>
      </c>
      <c r="V9" s="74">
        <v>22</v>
      </c>
      <c r="W9" s="75">
        <v>23</v>
      </c>
      <c r="X9" s="75">
        <v>24</v>
      </c>
      <c r="Y9" s="75">
        <v>25</v>
      </c>
      <c r="Z9" s="74">
        <v>26</v>
      </c>
    </row>
    <row r="10" spans="1:28">
      <c r="A10" s="67" t="s">
        <v>600</v>
      </c>
      <c r="B10" s="67">
        <v>100</v>
      </c>
      <c r="C10" s="67" t="s">
        <v>312</v>
      </c>
      <c r="D10" s="68">
        <f>E10+K10+S10+T10</f>
        <v>35028097.57</v>
      </c>
      <c r="E10" s="68">
        <f>SUM(F10:J10)</f>
        <v>32773600</v>
      </c>
      <c r="F10" s="68">
        <f>F17</f>
        <v>0</v>
      </c>
      <c r="G10" s="68">
        <f>G17</f>
        <v>0</v>
      </c>
      <c r="H10" s="210">
        <f>H17</f>
        <v>32584200</v>
      </c>
      <c r="I10" s="68">
        <f>I17</f>
        <v>0</v>
      </c>
      <c r="J10" s="68">
        <f>J17</f>
        <v>189400</v>
      </c>
      <c r="K10" s="68">
        <f>SUM(L10:R10)</f>
        <v>2218841.77</v>
      </c>
      <c r="L10" s="68">
        <f t="shared" ref="L10:R10" si="0">L30</f>
        <v>408742.57</v>
      </c>
      <c r="M10" s="68">
        <f t="shared" si="0"/>
        <v>300</v>
      </c>
      <c r="N10" s="68">
        <f t="shared" si="0"/>
        <v>0</v>
      </c>
      <c r="O10" s="68">
        <f t="shared" si="0"/>
        <v>0</v>
      </c>
      <c r="P10" s="68">
        <f t="shared" si="0"/>
        <v>-1000</v>
      </c>
      <c r="Q10" s="68">
        <f t="shared" si="0"/>
        <v>1810800</v>
      </c>
      <c r="R10" s="68">
        <f t="shared" si="0"/>
        <v>-0.8</v>
      </c>
      <c r="S10" s="68"/>
      <c r="T10" s="68">
        <f>SUM(U10:Z10)</f>
        <v>35655.800000000003</v>
      </c>
      <c r="U10" s="68">
        <f>U17</f>
        <v>0</v>
      </c>
      <c r="V10" s="68">
        <f>V17</f>
        <v>0</v>
      </c>
      <c r="W10" s="68">
        <f>W17</f>
        <v>0</v>
      </c>
      <c r="X10" s="68">
        <f>X17</f>
        <v>0</v>
      </c>
      <c r="Y10" s="68">
        <f>Y17+Y34</f>
        <v>35000</v>
      </c>
      <c r="Z10" s="68">
        <f>Z17+Z34</f>
        <v>655.8</v>
      </c>
      <c r="AB10" s="86"/>
    </row>
    <row r="11" spans="1:28">
      <c r="A11" s="67" t="s">
        <v>313</v>
      </c>
      <c r="B11" s="67"/>
      <c r="C11" s="67"/>
      <c r="D11" s="68"/>
      <c r="E11" s="68"/>
      <c r="F11" s="69"/>
      <c r="G11" s="69"/>
      <c r="H11" s="211"/>
      <c r="I11" s="69"/>
      <c r="J11" s="69"/>
      <c r="K11" s="68"/>
      <c r="L11" s="69"/>
      <c r="M11" s="69"/>
      <c r="N11" s="69"/>
      <c r="O11" s="69"/>
      <c r="P11" s="69"/>
      <c r="Q11" s="69"/>
      <c r="R11" s="69"/>
      <c r="S11" s="69"/>
      <c r="T11" s="68"/>
      <c r="U11" s="69"/>
      <c r="V11" s="69"/>
      <c r="W11" s="69"/>
      <c r="X11" s="69"/>
      <c r="Y11" s="69"/>
      <c r="Z11" s="69"/>
    </row>
    <row r="12" spans="1:28">
      <c r="A12" s="67" t="s">
        <v>314</v>
      </c>
      <c r="B12" s="67">
        <v>110</v>
      </c>
      <c r="C12" s="67">
        <v>120</v>
      </c>
      <c r="D12" s="68">
        <f>T12</f>
        <v>0</v>
      </c>
      <c r="E12" s="68" t="s">
        <v>312</v>
      </c>
      <c r="F12" s="69" t="s">
        <v>312</v>
      </c>
      <c r="G12" s="69" t="s">
        <v>312</v>
      </c>
      <c r="H12" s="211" t="s">
        <v>312</v>
      </c>
      <c r="I12" s="69" t="s">
        <v>312</v>
      </c>
      <c r="J12" s="69" t="s">
        <v>312</v>
      </c>
      <c r="K12" s="68" t="s">
        <v>312</v>
      </c>
      <c r="L12" s="69" t="s">
        <v>312</v>
      </c>
      <c r="M12" s="69" t="s">
        <v>312</v>
      </c>
      <c r="N12" s="69" t="s">
        <v>312</v>
      </c>
      <c r="O12" s="69" t="s">
        <v>312</v>
      </c>
      <c r="P12" s="69" t="s">
        <v>312</v>
      </c>
      <c r="Q12" s="69" t="s">
        <v>312</v>
      </c>
      <c r="R12" s="69" t="s">
        <v>312</v>
      </c>
      <c r="S12" s="69" t="s">
        <v>312</v>
      </c>
      <c r="T12" s="68">
        <f>SUM(U12:Z12)</f>
        <v>0</v>
      </c>
      <c r="U12" s="69"/>
      <c r="V12" s="69"/>
      <c r="W12" s="69"/>
      <c r="X12" s="69"/>
      <c r="Y12" s="69"/>
      <c r="Z12" s="69" t="s">
        <v>312</v>
      </c>
    </row>
    <row r="13" spans="1:28" hidden="1">
      <c r="A13" s="67" t="s">
        <v>315</v>
      </c>
      <c r="B13" s="67"/>
      <c r="C13" s="67"/>
      <c r="D13" s="68"/>
      <c r="E13" s="68"/>
      <c r="F13" s="69"/>
      <c r="G13" s="69"/>
      <c r="H13" s="211"/>
      <c r="I13" s="69"/>
      <c r="J13" s="69"/>
      <c r="K13" s="68"/>
      <c r="L13" s="69"/>
      <c r="M13" s="69"/>
      <c r="N13" s="69"/>
      <c r="O13" s="69"/>
      <c r="P13" s="69"/>
      <c r="Q13" s="69"/>
      <c r="R13" s="69"/>
      <c r="S13" s="69"/>
      <c r="T13" s="68"/>
      <c r="U13" s="69"/>
      <c r="V13" s="69"/>
      <c r="W13" s="69"/>
      <c r="X13" s="69"/>
      <c r="Y13" s="69"/>
      <c r="Z13" s="69"/>
    </row>
    <row r="14" spans="1:28" hidden="1">
      <c r="A14" s="76" t="s">
        <v>316</v>
      </c>
      <c r="B14" s="76">
        <v>111</v>
      </c>
      <c r="C14" s="76">
        <v>120</v>
      </c>
      <c r="D14" s="68">
        <f>T14</f>
        <v>0</v>
      </c>
      <c r="E14" s="77" t="s">
        <v>312</v>
      </c>
      <c r="F14" s="78" t="s">
        <v>312</v>
      </c>
      <c r="G14" s="78" t="s">
        <v>312</v>
      </c>
      <c r="H14" s="212" t="s">
        <v>312</v>
      </c>
      <c r="I14" s="78" t="s">
        <v>312</v>
      </c>
      <c r="J14" s="78" t="s">
        <v>312</v>
      </c>
      <c r="K14" s="77" t="s">
        <v>312</v>
      </c>
      <c r="L14" s="78" t="s">
        <v>312</v>
      </c>
      <c r="M14" s="78" t="s">
        <v>312</v>
      </c>
      <c r="N14" s="78" t="s">
        <v>312</v>
      </c>
      <c r="O14" s="78" t="s">
        <v>312</v>
      </c>
      <c r="P14" s="78" t="s">
        <v>312</v>
      </c>
      <c r="Q14" s="78" t="s">
        <v>312</v>
      </c>
      <c r="R14" s="78" t="s">
        <v>312</v>
      </c>
      <c r="S14" s="78" t="s">
        <v>312</v>
      </c>
      <c r="T14" s="68">
        <f>SUM(U14:Z14)</f>
        <v>0</v>
      </c>
      <c r="U14" s="78"/>
      <c r="V14" s="78"/>
      <c r="W14" s="78"/>
      <c r="X14" s="78"/>
      <c r="Y14" s="78"/>
      <c r="Z14" s="78" t="s">
        <v>312</v>
      </c>
    </row>
    <row r="15" spans="1:28" ht="26" hidden="1">
      <c r="A15" s="67" t="s">
        <v>317</v>
      </c>
      <c r="B15" s="67">
        <v>112</v>
      </c>
      <c r="C15" s="67">
        <v>120</v>
      </c>
      <c r="D15" s="68">
        <f>T15</f>
        <v>0</v>
      </c>
      <c r="E15" s="68" t="s">
        <v>312</v>
      </c>
      <c r="F15" s="69" t="s">
        <v>312</v>
      </c>
      <c r="G15" s="69" t="s">
        <v>312</v>
      </c>
      <c r="H15" s="211" t="s">
        <v>312</v>
      </c>
      <c r="I15" s="69" t="s">
        <v>312</v>
      </c>
      <c r="J15" s="69" t="s">
        <v>312</v>
      </c>
      <c r="K15" s="68" t="s">
        <v>312</v>
      </c>
      <c r="L15" s="69" t="s">
        <v>312</v>
      </c>
      <c r="M15" s="69" t="s">
        <v>312</v>
      </c>
      <c r="N15" s="69" t="s">
        <v>312</v>
      </c>
      <c r="O15" s="69" t="s">
        <v>312</v>
      </c>
      <c r="P15" s="69" t="s">
        <v>312</v>
      </c>
      <c r="Q15" s="69" t="s">
        <v>312</v>
      </c>
      <c r="R15" s="69" t="s">
        <v>312</v>
      </c>
      <c r="S15" s="69" t="s">
        <v>312</v>
      </c>
      <c r="T15" s="68">
        <f>SUM(U15:Z15)</f>
        <v>0</v>
      </c>
      <c r="U15" s="69"/>
      <c r="V15" s="69"/>
      <c r="W15" s="69"/>
      <c r="X15" s="69"/>
      <c r="Y15" s="69"/>
      <c r="Z15" s="69" t="s">
        <v>312</v>
      </c>
    </row>
    <row r="16" spans="1:28" ht="9" customHeight="1">
      <c r="A16" s="67"/>
      <c r="B16" s="67"/>
      <c r="C16" s="67"/>
      <c r="D16" s="68"/>
      <c r="E16" s="68"/>
      <c r="F16" s="69"/>
      <c r="G16" s="69"/>
      <c r="H16" s="211"/>
      <c r="I16" s="69"/>
      <c r="J16" s="69"/>
      <c r="K16" s="68"/>
      <c r="L16" s="69"/>
      <c r="M16" s="69"/>
      <c r="N16" s="69"/>
      <c r="O16" s="69"/>
      <c r="P16" s="69"/>
      <c r="Q16" s="69"/>
      <c r="R16" s="69"/>
      <c r="S16" s="69"/>
      <c r="T16" s="68"/>
      <c r="U16" s="69"/>
      <c r="V16" s="69"/>
      <c r="W16" s="69"/>
      <c r="X16" s="69"/>
      <c r="Y16" s="69"/>
      <c r="Z16" s="69"/>
    </row>
    <row r="17" spans="1:26" ht="27.75" customHeight="1">
      <c r="A17" s="67" t="s">
        <v>318</v>
      </c>
      <c r="B17" s="67">
        <v>120</v>
      </c>
      <c r="C17" s="67">
        <v>130</v>
      </c>
      <c r="D17" s="68">
        <f>E17+T17</f>
        <v>32774255.800000001</v>
      </c>
      <c r="E17" s="68">
        <f>SUM(F17:J17)</f>
        <v>32773600</v>
      </c>
      <c r="F17" s="69"/>
      <c r="G17" s="69"/>
      <c r="H17" s="210">
        <f>H19+H20+H21+H22+H23+H24</f>
        <v>32584200</v>
      </c>
      <c r="I17" s="68">
        <f>I19+I20+I21+I22+I23+I24</f>
        <v>0</v>
      </c>
      <c r="J17" s="68">
        <f>J19+J20+J21+J22+J23+J24</f>
        <v>189400</v>
      </c>
      <c r="K17" s="68" t="s">
        <v>312</v>
      </c>
      <c r="L17" s="69" t="s">
        <v>312</v>
      </c>
      <c r="M17" s="69" t="s">
        <v>312</v>
      </c>
      <c r="N17" s="69" t="s">
        <v>312</v>
      </c>
      <c r="O17" s="69" t="s">
        <v>312</v>
      </c>
      <c r="P17" s="69" t="s">
        <v>312</v>
      </c>
      <c r="Q17" s="69" t="s">
        <v>312</v>
      </c>
      <c r="R17" s="69" t="s">
        <v>312</v>
      </c>
      <c r="S17" s="69" t="s">
        <v>312</v>
      </c>
      <c r="T17" s="68">
        <f>SUM(U17:Z17)</f>
        <v>655.8</v>
      </c>
      <c r="U17" s="68">
        <f>U20</f>
        <v>0</v>
      </c>
      <c r="V17" s="68">
        <f>V21</f>
        <v>0</v>
      </c>
      <c r="W17" s="68">
        <f>W22</f>
        <v>0</v>
      </c>
      <c r="X17" s="68"/>
      <c r="Y17" s="68">
        <f>Y28</f>
        <v>0</v>
      </c>
      <c r="Z17" s="68">
        <f>Z26</f>
        <v>655.8</v>
      </c>
    </row>
    <row r="18" spans="1:26">
      <c r="A18" s="67" t="s">
        <v>315</v>
      </c>
      <c r="B18" s="67"/>
      <c r="C18" s="67"/>
      <c r="D18" s="68"/>
      <c r="E18" s="68"/>
      <c r="F18" s="69"/>
      <c r="G18" s="69"/>
      <c r="H18" s="211"/>
      <c r="I18" s="69"/>
      <c r="J18" s="69"/>
      <c r="K18" s="68"/>
      <c r="L18" s="69"/>
      <c r="M18" s="69"/>
      <c r="N18" s="69"/>
      <c r="O18" s="69"/>
      <c r="P18" s="69"/>
      <c r="Q18" s="69"/>
      <c r="R18" s="69"/>
      <c r="S18" s="69"/>
      <c r="T18" s="68"/>
      <c r="U18" s="69"/>
      <c r="V18" s="69"/>
      <c r="W18" s="69"/>
      <c r="X18" s="69"/>
      <c r="Y18" s="69"/>
      <c r="Z18" s="69"/>
    </row>
    <row r="19" spans="1:26" ht="78">
      <c r="A19" s="67" t="s">
        <v>319</v>
      </c>
      <c r="B19" s="67">
        <v>121</v>
      </c>
      <c r="C19" s="67">
        <v>130</v>
      </c>
      <c r="D19" s="68">
        <f>E19</f>
        <v>32773600</v>
      </c>
      <c r="E19" s="68">
        <f>SUM(F19:J19)</f>
        <v>32773600</v>
      </c>
      <c r="F19" s="69"/>
      <c r="G19" s="69"/>
      <c r="H19" s="211">
        <v>32584200</v>
      </c>
      <c r="I19" s="69"/>
      <c r="J19" s="69">
        <v>189400</v>
      </c>
      <c r="K19" s="68" t="s">
        <v>312</v>
      </c>
      <c r="L19" s="69" t="s">
        <v>312</v>
      </c>
      <c r="M19" s="69" t="s">
        <v>312</v>
      </c>
      <c r="N19" s="69" t="s">
        <v>312</v>
      </c>
      <c r="O19" s="69" t="s">
        <v>312</v>
      </c>
      <c r="P19" s="69" t="s">
        <v>312</v>
      </c>
      <c r="Q19" s="69" t="s">
        <v>312</v>
      </c>
      <c r="R19" s="69" t="s">
        <v>312</v>
      </c>
      <c r="S19" s="69" t="s">
        <v>312</v>
      </c>
      <c r="T19" s="68"/>
      <c r="U19" s="69"/>
      <c r="V19" s="69"/>
      <c r="W19" s="69"/>
      <c r="X19" s="69"/>
      <c r="Y19" s="69"/>
      <c r="Z19" s="69" t="s">
        <v>312</v>
      </c>
    </row>
    <row r="20" spans="1:26" hidden="1">
      <c r="A20" s="67" t="s">
        <v>320</v>
      </c>
      <c r="B20" s="67">
        <v>122</v>
      </c>
      <c r="C20" s="67">
        <v>130</v>
      </c>
      <c r="D20" s="68">
        <f>T20</f>
        <v>0</v>
      </c>
      <c r="E20" s="68"/>
      <c r="F20" s="69"/>
      <c r="G20" s="69"/>
      <c r="H20" s="211"/>
      <c r="I20" s="69"/>
      <c r="J20" s="69"/>
      <c r="K20" s="68" t="s">
        <v>312</v>
      </c>
      <c r="L20" s="69" t="s">
        <v>312</v>
      </c>
      <c r="M20" s="69" t="s">
        <v>312</v>
      </c>
      <c r="N20" s="69" t="s">
        <v>312</v>
      </c>
      <c r="O20" s="69" t="s">
        <v>312</v>
      </c>
      <c r="P20" s="69" t="s">
        <v>312</v>
      </c>
      <c r="Q20" s="69" t="s">
        <v>312</v>
      </c>
      <c r="R20" s="69" t="s">
        <v>312</v>
      </c>
      <c r="S20" s="69" t="s">
        <v>312</v>
      </c>
      <c r="T20" s="68">
        <f>SUM(U20:Z20)</f>
        <v>0</v>
      </c>
      <c r="U20" s="69"/>
      <c r="V20" s="69"/>
      <c r="W20" s="69"/>
      <c r="X20" s="69"/>
      <c r="Y20" s="69"/>
      <c r="Z20" s="69" t="s">
        <v>312</v>
      </c>
    </row>
    <row r="21" spans="1:26" hidden="1">
      <c r="A21" s="67" t="s">
        <v>321</v>
      </c>
      <c r="B21" s="67">
        <v>123</v>
      </c>
      <c r="C21" s="67">
        <v>130</v>
      </c>
      <c r="D21" s="68">
        <f>E21+K21+S21+T21</f>
        <v>0</v>
      </c>
      <c r="E21" s="68"/>
      <c r="F21" s="69"/>
      <c r="G21" s="69"/>
      <c r="H21" s="211"/>
      <c r="I21" s="69"/>
      <c r="J21" s="69"/>
      <c r="K21" s="68"/>
      <c r="L21" s="69"/>
      <c r="M21" s="69"/>
      <c r="N21" s="69"/>
      <c r="O21" s="69"/>
      <c r="P21" s="69"/>
      <c r="Q21" s="69"/>
      <c r="R21" s="69"/>
      <c r="S21" s="69"/>
      <c r="T21" s="68">
        <f>SUM(U21:Z21)</f>
        <v>0</v>
      </c>
      <c r="U21" s="69"/>
      <c r="V21" s="69"/>
      <c r="W21" s="69"/>
      <c r="X21" s="69"/>
      <c r="Y21" s="69"/>
      <c r="Z21" s="69"/>
    </row>
    <row r="22" spans="1:26" hidden="1">
      <c r="A22" s="67" t="s">
        <v>322</v>
      </c>
      <c r="B22" s="67">
        <v>124</v>
      </c>
      <c r="C22" s="67">
        <v>130</v>
      </c>
      <c r="D22" s="68">
        <f>E22+K22+S22+T22</f>
        <v>0</v>
      </c>
      <c r="E22" s="68"/>
      <c r="F22" s="69"/>
      <c r="G22" s="69"/>
      <c r="H22" s="211"/>
      <c r="I22" s="69"/>
      <c r="J22" s="69"/>
      <c r="K22" s="68"/>
      <c r="L22" s="69"/>
      <c r="M22" s="69"/>
      <c r="N22" s="69"/>
      <c r="O22" s="69"/>
      <c r="P22" s="69"/>
      <c r="Q22" s="69"/>
      <c r="R22" s="69"/>
      <c r="S22" s="69"/>
      <c r="T22" s="68">
        <f>SUM(U22:Z22)</f>
        <v>0</v>
      </c>
      <c r="U22" s="69"/>
      <c r="V22" s="69"/>
      <c r="W22" s="69"/>
      <c r="X22" s="69"/>
      <c r="Y22" s="69"/>
      <c r="Z22" s="69"/>
    </row>
    <row r="23" spans="1:26" ht="26" hidden="1">
      <c r="A23" s="67" t="s">
        <v>323</v>
      </c>
      <c r="B23" s="67">
        <v>125</v>
      </c>
      <c r="C23" s="67">
        <v>130</v>
      </c>
      <c r="D23" s="68">
        <f>E23+K23+S23+T23</f>
        <v>0</v>
      </c>
      <c r="E23" s="68"/>
      <c r="F23" s="69"/>
      <c r="G23" s="69"/>
      <c r="H23" s="211"/>
      <c r="I23" s="69"/>
      <c r="J23" s="69"/>
      <c r="K23" s="68"/>
      <c r="L23" s="69"/>
      <c r="M23" s="69"/>
      <c r="N23" s="69"/>
      <c r="O23" s="69"/>
      <c r="P23" s="69"/>
      <c r="Q23" s="69"/>
      <c r="R23" s="69"/>
      <c r="S23" s="69"/>
      <c r="T23" s="68">
        <f>SUM(U23:Z23)</f>
        <v>0</v>
      </c>
      <c r="U23" s="69"/>
      <c r="V23" s="69"/>
      <c r="W23" s="69"/>
      <c r="X23" s="69"/>
      <c r="Y23" s="69"/>
      <c r="Z23" s="69"/>
    </row>
    <row r="24" spans="1:26" ht="26" hidden="1">
      <c r="A24" s="67" t="s">
        <v>324</v>
      </c>
      <c r="B24" s="67">
        <v>126</v>
      </c>
      <c r="C24" s="67">
        <v>130</v>
      </c>
      <c r="D24" s="68">
        <f>E24+K24+S24+T24</f>
        <v>0</v>
      </c>
      <c r="E24" s="68"/>
      <c r="F24" s="69"/>
      <c r="G24" s="69"/>
      <c r="H24" s="211"/>
      <c r="I24" s="69"/>
      <c r="J24" s="69"/>
      <c r="K24" s="68"/>
      <c r="L24" s="69"/>
      <c r="M24" s="69"/>
      <c r="N24" s="69"/>
      <c r="O24" s="69"/>
      <c r="P24" s="69"/>
      <c r="Q24" s="69"/>
      <c r="R24" s="69"/>
      <c r="S24" s="69"/>
      <c r="T24" s="68">
        <f>SUM(U24:Z24)</f>
        <v>0</v>
      </c>
      <c r="U24" s="69"/>
      <c r="V24" s="69"/>
      <c r="W24" s="69"/>
      <c r="X24" s="69"/>
      <c r="Y24" s="69"/>
      <c r="Z24" s="69"/>
    </row>
    <row r="25" spans="1:26" hidden="1">
      <c r="A25" s="67"/>
      <c r="B25" s="67"/>
      <c r="C25" s="67"/>
      <c r="D25" s="68"/>
      <c r="E25" s="68"/>
      <c r="F25" s="69"/>
      <c r="G25" s="69"/>
      <c r="H25" s="211"/>
      <c r="I25" s="69"/>
      <c r="J25" s="69"/>
      <c r="K25" s="68"/>
      <c r="L25" s="69"/>
      <c r="M25" s="69"/>
      <c r="N25" s="69"/>
      <c r="O25" s="69"/>
      <c r="P25" s="69"/>
      <c r="Q25" s="69"/>
      <c r="R25" s="69"/>
      <c r="S25" s="69"/>
      <c r="T25" s="68"/>
      <c r="U25" s="69"/>
      <c r="V25" s="69"/>
      <c r="W25" s="69"/>
      <c r="X25" s="69"/>
      <c r="Y25" s="69"/>
      <c r="Z25" s="69"/>
    </row>
    <row r="26" spans="1:26" ht="31.5" customHeight="1">
      <c r="A26" s="67" t="s">
        <v>325</v>
      </c>
      <c r="B26" s="67">
        <v>130</v>
      </c>
      <c r="C26" s="67">
        <v>140</v>
      </c>
      <c r="D26" s="68">
        <f>T26</f>
        <v>655.8</v>
      </c>
      <c r="E26" s="68" t="s">
        <v>312</v>
      </c>
      <c r="F26" s="69" t="s">
        <v>312</v>
      </c>
      <c r="G26" s="69" t="s">
        <v>312</v>
      </c>
      <c r="H26" s="211" t="s">
        <v>312</v>
      </c>
      <c r="I26" s="69" t="s">
        <v>312</v>
      </c>
      <c r="J26" s="69" t="s">
        <v>312</v>
      </c>
      <c r="K26" s="68" t="s">
        <v>312</v>
      </c>
      <c r="L26" s="69" t="s">
        <v>312</v>
      </c>
      <c r="M26" s="69" t="s">
        <v>312</v>
      </c>
      <c r="N26" s="69" t="s">
        <v>312</v>
      </c>
      <c r="O26" s="69" t="s">
        <v>312</v>
      </c>
      <c r="P26" s="69" t="s">
        <v>312</v>
      </c>
      <c r="Q26" s="69" t="s">
        <v>312</v>
      </c>
      <c r="R26" s="69" t="s">
        <v>312</v>
      </c>
      <c r="S26" s="69" t="s">
        <v>312</v>
      </c>
      <c r="T26" s="68">
        <f>SUM(U26:Z26)</f>
        <v>655.8</v>
      </c>
      <c r="U26" s="69"/>
      <c r="V26" s="69"/>
      <c r="W26" s="69"/>
      <c r="X26" s="69"/>
      <c r="Y26" s="69"/>
      <c r="Z26" s="69">
        <f>655.8</f>
        <v>655.8</v>
      </c>
    </row>
    <row r="27" spans="1:26" hidden="1">
      <c r="A27" s="67"/>
      <c r="B27" s="67"/>
      <c r="C27" s="67"/>
      <c r="D27" s="68"/>
      <c r="E27" s="68"/>
      <c r="F27" s="69"/>
      <c r="G27" s="69"/>
      <c r="H27" s="211"/>
      <c r="I27" s="69"/>
      <c r="J27" s="69"/>
      <c r="K27" s="68"/>
      <c r="L27" s="69"/>
      <c r="M27" s="69"/>
      <c r="N27" s="69"/>
      <c r="O27" s="69"/>
      <c r="P27" s="69"/>
      <c r="Q27" s="69"/>
      <c r="R27" s="69"/>
      <c r="S27" s="69"/>
      <c r="T27" s="68"/>
      <c r="U27" s="69"/>
      <c r="V27" s="69"/>
      <c r="W27" s="69"/>
      <c r="X27" s="69"/>
      <c r="Y27" s="69"/>
      <c r="Z27" s="69"/>
    </row>
    <row r="28" spans="1:26" ht="65" hidden="1">
      <c r="A28" s="67" t="s">
        <v>326</v>
      </c>
      <c r="B28" s="67">
        <v>140</v>
      </c>
      <c r="C28" s="67">
        <v>150</v>
      </c>
      <c r="D28" s="68">
        <f>T28</f>
        <v>0</v>
      </c>
      <c r="E28" s="68" t="s">
        <v>312</v>
      </c>
      <c r="F28" s="69" t="s">
        <v>312</v>
      </c>
      <c r="G28" s="69" t="s">
        <v>312</v>
      </c>
      <c r="H28" s="211" t="s">
        <v>312</v>
      </c>
      <c r="I28" s="69" t="s">
        <v>312</v>
      </c>
      <c r="J28" s="69" t="s">
        <v>312</v>
      </c>
      <c r="K28" s="68" t="s">
        <v>312</v>
      </c>
      <c r="L28" s="69" t="s">
        <v>312</v>
      </c>
      <c r="M28" s="69" t="s">
        <v>312</v>
      </c>
      <c r="N28" s="69" t="s">
        <v>312</v>
      </c>
      <c r="O28" s="69" t="s">
        <v>312</v>
      </c>
      <c r="P28" s="69" t="s">
        <v>312</v>
      </c>
      <c r="Q28" s="69" t="s">
        <v>312</v>
      </c>
      <c r="R28" s="69" t="s">
        <v>312</v>
      </c>
      <c r="S28" s="69" t="s">
        <v>312</v>
      </c>
      <c r="T28" s="68">
        <f>SUM(U28:Z28)</f>
        <v>0</v>
      </c>
      <c r="U28" s="69"/>
      <c r="V28" s="69"/>
      <c r="W28" s="69"/>
      <c r="X28" s="69"/>
      <c r="Y28" s="69"/>
      <c r="Z28" s="69" t="s">
        <v>312</v>
      </c>
    </row>
    <row r="29" spans="1:26">
      <c r="A29" s="67"/>
      <c r="B29" s="67"/>
      <c r="C29" s="67"/>
      <c r="D29" s="68"/>
      <c r="E29" s="68"/>
      <c r="F29" s="69"/>
      <c r="G29" s="69"/>
      <c r="H29" s="211"/>
      <c r="I29" s="69"/>
      <c r="J29" s="69"/>
      <c r="K29" s="68"/>
      <c r="L29" s="69"/>
      <c r="M29" s="69"/>
      <c r="N29" s="69"/>
      <c r="O29" s="69"/>
      <c r="P29" s="69"/>
      <c r="Q29" s="69"/>
      <c r="R29" s="69"/>
      <c r="S29" s="69"/>
      <c r="T29" s="68"/>
      <c r="U29" s="69"/>
      <c r="V29" s="69"/>
      <c r="W29" s="69"/>
      <c r="X29" s="69"/>
      <c r="Y29" s="69"/>
      <c r="Z29" s="69"/>
    </row>
    <row r="30" spans="1:26" ht="26">
      <c r="A30" s="67" t="s">
        <v>327</v>
      </c>
      <c r="B30" s="67">
        <v>150</v>
      </c>
      <c r="C30" s="67">
        <v>180</v>
      </c>
      <c r="D30" s="68">
        <f>K30+S30</f>
        <v>2218841.77</v>
      </c>
      <c r="E30" s="68" t="s">
        <v>312</v>
      </c>
      <c r="F30" s="69" t="s">
        <v>312</v>
      </c>
      <c r="G30" s="69" t="s">
        <v>312</v>
      </c>
      <c r="H30" s="211" t="s">
        <v>312</v>
      </c>
      <c r="I30" s="69" t="s">
        <v>312</v>
      </c>
      <c r="J30" s="69" t="s">
        <v>312</v>
      </c>
      <c r="K30" s="68">
        <f>SUM(L30:R30)</f>
        <v>2218841.77</v>
      </c>
      <c r="L30" s="69">
        <f t="shared" ref="L30:R30" si="1">L32+L33</f>
        <v>408742.57</v>
      </c>
      <c r="M30" s="69">
        <f t="shared" si="1"/>
        <v>300</v>
      </c>
      <c r="N30" s="69">
        <f t="shared" si="1"/>
        <v>0</v>
      </c>
      <c r="O30" s="69">
        <f t="shared" si="1"/>
        <v>0</v>
      </c>
      <c r="P30" s="69">
        <f t="shared" si="1"/>
        <v>-1000</v>
      </c>
      <c r="Q30" s="69">
        <f t="shared" si="1"/>
        <v>1810800</v>
      </c>
      <c r="R30" s="69">
        <f t="shared" si="1"/>
        <v>-0.8</v>
      </c>
      <c r="S30" s="69"/>
      <c r="T30" s="68" t="s">
        <v>312</v>
      </c>
      <c r="U30" s="69" t="s">
        <v>312</v>
      </c>
      <c r="V30" s="69" t="s">
        <v>312</v>
      </c>
      <c r="W30" s="69" t="s">
        <v>312</v>
      </c>
      <c r="X30" s="69" t="s">
        <v>312</v>
      </c>
      <c r="Y30" s="69" t="s">
        <v>312</v>
      </c>
      <c r="Z30" s="69" t="s">
        <v>312</v>
      </c>
    </row>
    <row r="31" spans="1:26">
      <c r="A31" s="67" t="s">
        <v>227</v>
      </c>
      <c r="B31" s="67"/>
      <c r="C31" s="67"/>
      <c r="D31" s="68"/>
      <c r="E31" s="68"/>
      <c r="F31" s="69"/>
      <c r="G31" s="69"/>
      <c r="H31" s="211"/>
      <c r="I31" s="69"/>
      <c r="J31" s="69"/>
      <c r="K31" s="68"/>
      <c r="L31" s="69"/>
      <c r="M31" s="69"/>
      <c r="N31" s="69"/>
      <c r="O31" s="69"/>
      <c r="P31" s="69"/>
      <c r="Q31" s="69"/>
      <c r="R31" s="69"/>
      <c r="S31" s="69"/>
      <c r="T31" s="68"/>
      <c r="U31" s="69"/>
      <c r="V31" s="69"/>
      <c r="W31" s="69"/>
      <c r="X31" s="69"/>
      <c r="Y31" s="69"/>
      <c r="Z31" s="69"/>
    </row>
    <row r="32" spans="1:26" ht="26">
      <c r="A32" s="67" t="s">
        <v>327</v>
      </c>
      <c r="B32" s="67">
        <v>150.1</v>
      </c>
      <c r="C32" s="67">
        <v>180</v>
      </c>
      <c r="D32" s="68">
        <f>K32+S32</f>
        <v>2380862.13</v>
      </c>
      <c r="E32" s="68"/>
      <c r="F32" s="69"/>
      <c r="G32" s="69"/>
      <c r="H32" s="211"/>
      <c r="I32" s="69"/>
      <c r="J32" s="69"/>
      <c r="K32" s="68">
        <f>SUM(L32:R32)</f>
        <v>2380862.13</v>
      </c>
      <c r="L32" s="69">
        <f>562400+7362.13</f>
        <v>569762.13</v>
      </c>
      <c r="M32" s="69">
        <f>1300-1000</f>
        <v>300</v>
      </c>
      <c r="N32" s="69">
        <f>306300-306300</f>
        <v>0</v>
      </c>
      <c r="O32" s="69"/>
      <c r="P32" s="69"/>
      <c r="Q32" s="69">
        <v>1810800</v>
      </c>
      <c r="R32" s="69"/>
      <c r="S32" s="69"/>
      <c r="T32" s="68"/>
      <c r="U32" s="69"/>
      <c r="V32" s="69"/>
      <c r="W32" s="69"/>
      <c r="X32" s="69"/>
      <c r="Y32" s="69"/>
      <c r="Z32" s="69"/>
    </row>
    <row r="33" spans="1:26" ht="26">
      <c r="A33" s="67" t="s">
        <v>736</v>
      </c>
      <c r="B33" s="67">
        <v>150.19999999999999</v>
      </c>
      <c r="C33" s="67">
        <v>180</v>
      </c>
      <c r="D33" s="68">
        <f>K33+S33</f>
        <v>-162020.35999999999</v>
      </c>
      <c r="E33" s="68"/>
      <c r="F33" s="69"/>
      <c r="G33" s="69"/>
      <c r="H33" s="211"/>
      <c r="I33" s="69"/>
      <c r="J33" s="69"/>
      <c r="K33" s="68">
        <f>SUM(L33:R33)</f>
        <v>-162020.35999999999</v>
      </c>
      <c r="L33" s="69">
        <v>-161019.56</v>
      </c>
      <c r="M33" s="69"/>
      <c r="N33" s="69"/>
      <c r="O33" s="69"/>
      <c r="P33" s="69">
        <v>-1000</v>
      </c>
      <c r="Q33" s="69"/>
      <c r="R33" s="69">
        <v>-0.8</v>
      </c>
      <c r="S33" s="69"/>
      <c r="T33" s="68"/>
      <c r="U33" s="69"/>
      <c r="V33" s="69"/>
      <c r="W33" s="69"/>
      <c r="X33" s="69"/>
      <c r="Y33" s="69"/>
      <c r="Z33" s="69"/>
    </row>
    <row r="34" spans="1:26">
      <c r="A34" s="79" t="s">
        <v>328</v>
      </c>
      <c r="B34" s="67">
        <v>160</v>
      </c>
      <c r="C34" s="67"/>
      <c r="D34" s="68">
        <f>T34</f>
        <v>35000</v>
      </c>
      <c r="E34" s="68" t="s">
        <v>312</v>
      </c>
      <c r="F34" s="69" t="s">
        <v>312</v>
      </c>
      <c r="G34" s="69" t="s">
        <v>312</v>
      </c>
      <c r="H34" s="211" t="s">
        <v>312</v>
      </c>
      <c r="I34" s="69" t="s">
        <v>312</v>
      </c>
      <c r="J34" s="69" t="s">
        <v>312</v>
      </c>
      <c r="K34" s="68" t="s">
        <v>312</v>
      </c>
      <c r="L34" s="69" t="s">
        <v>312</v>
      </c>
      <c r="M34" s="69" t="s">
        <v>312</v>
      </c>
      <c r="N34" s="69" t="s">
        <v>312</v>
      </c>
      <c r="O34" s="69" t="s">
        <v>312</v>
      </c>
      <c r="P34" s="69" t="s">
        <v>312</v>
      </c>
      <c r="Q34" s="69" t="s">
        <v>312</v>
      </c>
      <c r="R34" s="69" t="s">
        <v>312</v>
      </c>
      <c r="S34" s="69" t="s">
        <v>312</v>
      </c>
      <c r="T34" s="68">
        <f>SUM(U34:Z34)</f>
        <v>35000</v>
      </c>
      <c r="U34" s="69"/>
      <c r="V34" s="69"/>
      <c r="W34" s="69"/>
      <c r="X34" s="69"/>
      <c r="Y34" s="69">
        <f>Y36</f>
        <v>35000</v>
      </c>
      <c r="Z34" s="69"/>
    </row>
    <row r="35" spans="1:26">
      <c r="A35" s="67" t="s">
        <v>227</v>
      </c>
      <c r="B35" s="67"/>
      <c r="C35" s="67"/>
      <c r="D35" s="68"/>
      <c r="E35" s="68"/>
      <c r="F35" s="69"/>
      <c r="G35" s="69"/>
      <c r="H35" s="211"/>
      <c r="I35" s="69"/>
      <c r="J35" s="69"/>
      <c r="K35" s="68"/>
      <c r="L35" s="69"/>
      <c r="M35" s="69"/>
      <c r="N35" s="69"/>
      <c r="O35" s="69"/>
      <c r="P35" s="69"/>
      <c r="Q35" s="69"/>
      <c r="R35" s="69"/>
      <c r="S35" s="69"/>
      <c r="T35" s="68"/>
      <c r="U35" s="69"/>
      <c r="V35" s="69"/>
      <c r="W35" s="69"/>
      <c r="X35" s="69"/>
      <c r="Y35" s="69"/>
      <c r="Z35" s="69"/>
    </row>
    <row r="36" spans="1:26" ht="39">
      <c r="A36" s="67" t="s">
        <v>657</v>
      </c>
      <c r="B36" s="67">
        <v>160.1</v>
      </c>
      <c r="C36" s="67">
        <v>180</v>
      </c>
      <c r="D36" s="68">
        <f t="shared" ref="D36:D41" si="2">E36+K36+S36+T36</f>
        <v>35000</v>
      </c>
      <c r="E36" s="68"/>
      <c r="F36" s="69"/>
      <c r="G36" s="69"/>
      <c r="H36" s="211"/>
      <c r="I36" s="69"/>
      <c r="J36" s="69"/>
      <c r="K36" s="68"/>
      <c r="L36" s="69"/>
      <c r="M36" s="69"/>
      <c r="N36" s="69"/>
      <c r="O36" s="69"/>
      <c r="P36" s="69"/>
      <c r="Q36" s="69"/>
      <c r="R36" s="69"/>
      <c r="S36" s="69"/>
      <c r="T36" s="68">
        <f>SUM(U36:Z36)</f>
        <v>35000</v>
      </c>
      <c r="U36" s="69"/>
      <c r="V36" s="69"/>
      <c r="W36" s="69"/>
      <c r="X36" s="69"/>
      <c r="Y36" s="69">
        <v>35000</v>
      </c>
      <c r="Z36" s="69"/>
    </row>
    <row r="37" spans="1:26" ht="26" hidden="1">
      <c r="A37" s="67" t="s">
        <v>658</v>
      </c>
      <c r="B37" s="67">
        <v>160.19999999999999</v>
      </c>
      <c r="C37" s="67">
        <v>180</v>
      </c>
      <c r="D37" s="68">
        <f t="shared" si="2"/>
        <v>0</v>
      </c>
      <c r="E37" s="68"/>
      <c r="F37" s="69"/>
      <c r="G37" s="69"/>
      <c r="H37" s="211"/>
      <c r="I37" s="69"/>
      <c r="J37" s="69"/>
      <c r="K37" s="68"/>
      <c r="L37" s="69"/>
      <c r="M37" s="69"/>
      <c r="N37" s="69"/>
      <c r="O37" s="69"/>
      <c r="P37" s="69"/>
      <c r="Q37" s="69"/>
      <c r="R37" s="69"/>
      <c r="S37" s="69"/>
      <c r="T37" s="68">
        <f>SUM(U37:Z37)</f>
        <v>0</v>
      </c>
      <c r="U37" s="69"/>
      <c r="V37" s="69"/>
      <c r="W37" s="69"/>
      <c r="X37" s="69"/>
      <c r="Y37" s="69"/>
      <c r="Z37" s="69"/>
    </row>
    <row r="38" spans="1:26" hidden="1">
      <c r="A38" s="67" t="s">
        <v>329</v>
      </c>
      <c r="B38" s="67" t="s">
        <v>330</v>
      </c>
      <c r="C38" s="67"/>
      <c r="D38" s="68">
        <f t="shared" si="2"/>
        <v>0</v>
      </c>
      <c r="E38" s="68"/>
      <c r="F38" s="69"/>
      <c r="G38" s="69"/>
      <c r="H38" s="211"/>
      <c r="I38" s="69"/>
      <c r="J38" s="69"/>
      <c r="K38" s="68"/>
      <c r="L38" s="69"/>
      <c r="M38" s="69"/>
      <c r="N38" s="69"/>
      <c r="O38" s="69"/>
      <c r="P38" s="69"/>
      <c r="Q38" s="69"/>
      <c r="R38" s="69"/>
      <c r="S38" s="69"/>
      <c r="T38" s="68"/>
      <c r="U38" s="69"/>
      <c r="V38" s="69"/>
      <c r="W38" s="69"/>
      <c r="X38" s="69"/>
      <c r="Y38" s="69"/>
      <c r="Z38" s="69"/>
    </row>
    <row r="39" spans="1:26" hidden="1">
      <c r="A39" s="67"/>
      <c r="B39" s="67"/>
      <c r="C39" s="67"/>
      <c r="D39" s="68">
        <f t="shared" si="2"/>
        <v>0</v>
      </c>
      <c r="E39" s="68"/>
      <c r="F39" s="69"/>
      <c r="G39" s="69"/>
      <c r="H39" s="211"/>
      <c r="I39" s="69"/>
      <c r="J39" s="69"/>
      <c r="K39" s="68"/>
      <c r="L39" s="69"/>
      <c r="M39" s="69"/>
      <c r="N39" s="69"/>
      <c r="O39" s="69"/>
      <c r="P39" s="69"/>
      <c r="Q39" s="69"/>
      <c r="R39" s="69"/>
      <c r="S39" s="69"/>
      <c r="T39" s="68"/>
      <c r="U39" s="69"/>
      <c r="V39" s="69"/>
      <c r="W39" s="69"/>
      <c r="X39" s="69"/>
      <c r="Y39" s="69"/>
      <c r="Z39" s="69"/>
    </row>
    <row r="40" spans="1:26" hidden="1">
      <c r="A40" s="67"/>
      <c r="B40" s="67"/>
      <c r="C40" s="67"/>
      <c r="D40" s="68">
        <f t="shared" si="2"/>
        <v>0</v>
      </c>
      <c r="E40" s="68"/>
      <c r="F40" s="69"/>
      <c r="G40" s="69"/>
      <c r="H40" s="211"/>
      <c r="I40" s="69"/>
      <c r="J40" s="69"/>
      <c r="K40" s="68"/>
      <c r="L40" s="69"/>
      <c r="M40" s="69"/>
      <c r="N40" s="69"/>
      <c r="O40" s="69"/>
      <c r="P40" s="69"/>
      <c r="Q40" s="69"/>
      <c r="R40" s="69"/>
      <c r="S40" s="69"/>
      <c r="T40" s="68"/>
      <c r="U40" s="69"/>
      <c r="V40" s="69"/>
      <c r="W40" s="69"/>
      <c r="X40" s="69"/>
      <c r="Y40" s="69"/>
      <c r="Z40" s="69"/>
    </row>
    <row r="41" spans="1:26" ht="26" hidden="1">
      <c r="A41" s="67" t="s">
        <v>331</v>
      </c>
      <c r="B41" s="67">
        <v>180</v>
      </c>
      <c r="C41" s="67" t="s">
        <v>312</v>
      </c>
      <c r="D41" s="68">
        <f t="shared" si="2"/>
        <v>0</v>
      </c>
      <c r="E41" s="68"/>
      <c r="F41" s="69"/>
      <c r="G41" s="69"/>
      <c r="H41" s="211"/>
      <c r="I41" s="69"/>
      <c r="J41" s="69"/>
      <c r="K41" s="68"/>
      <c r="L41" s="69"/>
      <c r="M41" s="69"/>
      <c r="N41" s="69"/>
      <c r="O41" s="69"/>
      <c r="P41" s="69"/>
      <c r="Q41" s="69"/>
      <c r="R41" s="69"/>
      <c r="S41" s="69"/>
      <c r="T41" s="68">
        <f>SUM(U41:Z41)</f>
        <v>0</v>
      </c>
      <c r="U41" s="69"/>
      <c r="V41" s="69"/>
      <c r="W41" s="69"/>
      <c r="X41" s="69"/>
      <c r="Y41" s="69"/>
      <c r="Z41" s="69"/>
    </row>
    <row r="42" spans="1:26" hidden="1">
      <c r="A42" s="67" t="s">
        <v>227</v>
      </c>
      <c r="B42" s="67"/>
      <c r="C42" s="67"/>
      <c r="D42" s="68"/>
      <c r="E42" s="68"/>
      <c r="F42" s="69"/>
      <c r="G42" s="69"/>
      <c r="H42" s="211"/>
      <c r="I42" s="69"/>
      <c r="J42" s="69"/>
      <c r="K42" s="68"/>
      <c r="L42" s="69"/>
      <c r="M42" s="69"/>
      <c r="N42" s="69"/>
      <c r="O42" s="69"/>
      <c r="P42" s="69"/>
      <c r="Q42" s="69"/>
      <c r="R42" s="69"/>
      <c r="S42" s="69"/>
      <c r="T42" s="68"/>
      <c r="U42" s="69"/>
      <c r="V42" s="69"/>
      <c r="W42" s="69"/>
      <c r="X42" s="69"/>
      <c r="Y42" s="69"/>
      <c r="Z42" s="69"/>
    </row>
    <row r="43" spans="1:26" ht="26" hidden="1">
      <c r="A43" s="67" t="s">
        <v>332</v>
      </c>
      <c r="B43" s="67">
        <v>181</v>
      </c>
      <c r="C43" s="67">
        <v>400</v>
      </c>
      <c r="D43" s="68">
        <f>T43</f>
        <v>0</v>
      </c>
      <c r="E43" s="68" t="s">
        <v>312</v>
      </c>
      <c r="F43" s="69" t="s">
        <v>312</v>
      </c>
      <c r="G43" s="69" t="s">
        <v>312</v>
      </c>
      <c r="H43" s="211" t="s">
        <v>312</v>
      </c>
      <c r="I43" s="69" t="s">
        <v>312</v>
      </c>
      <c r="J43" s="69" t="s">
        <v>312</v>
      </c>
      <c r="K43" s="68" t="s">
        <v>312</v>
      </c>
      <c r="L43" s="69" t="s">
        <v>312</v>
      </c>
      <c r="M43" s="69" t="s">
        <v>312</v>
      </c>
      <c r="N43" s="69" t="s">
        <v>312</v>
      </c>
      <c r="O43" s="69" t="s">
        <v>312</v>
      </c>
      <c r="P43" s="69" t="s">
        <v>312</v>
      </c>
      <c r="Q43" s="69" t="s">
        <v>312</v>
      </c>
      <c r="R43" s="69" t="s">
        <v>312</v>
      </c>
      <c r="S43" s="69" t="s">
        <v>312</v>
      </c>
      <c r="T43" s="68">
        <f>SUM(U43:Z43)</f>
        <v>0</v>
      </c>
      <c r="U43" s="69"/>
      <c r="V43" s="69"/>
      <c r="W43" s="69"/>
      <c r="X43" s="69"/>
      <c r="Y43" s="69"/>
      <c r="Z43" s="69" t="s">
        <v>312</v>
      </c>
    </row>
    <row r="44" spans="1:26" hidden="1">
      <c r="A44" s="67" t="s">
        <v>225</v>
      </c>
      <c r="B44" s="67"/>
      <c r="C44" s="67"/>
      <c r="D44" s="68"/>
      <c r="E44" s="68"/>
      <c r="F44" s="69"/>
      <c r="G44" s="69"/>
      <c r="H44" s="211"/>
      <c r="I44" s="69"/>
      <c r="J44" s="69"/>
      <c r="K44" s="68"/>
      <c r="L44" s="69"/>
      <c r="M44" s="69"/>
      <c r="N44" s="69"/>
      <c r="O44" s="69"/>
      <c r="P44" s="69"/>
      <c r="Q44" s="69"/>
      <c r="R44" s="69"/>
      <c r="S44" s="69"/>
      <c r="T44" s="68"/>
      <c r="U44" s="69"/>
      <c r="V44" s="69"/>
      <c r="W44" s="69"/>
      <c r="X44" s="69"/>
      <c r="Y44" s="69"/>
      <c r="Z44" s="69"/>
    </row>
    <row r="45" spans="1:26" hidden="1">
      <c r="A45" s="67" t="s">
        <v>333</v>
      </c>
      <c r="B45" s="67">
        <v>181.1</v>
      </c>
      <c r="C45" s="67">
        <v>410</v>
      </c>
      <c r="D45" s="68">
        <f>T45</f>
        <v>0</v>
      </c>
      <c r="E45" s="68" t="s">
        <v>312</v>
      </c>
      <c r="F45" s="69" t="s">
        <v>312</v>
      </c>
      <c r="G45" s="69" t="s">
        <v>312</v>
      </c>
      <c r="H45" s="211" t="s">
        <v>312</v>
      </c>
      <c r="I45" s="69" t="s">
        <v>312</v>
      </c>
      <c r="J45" s="69" t="s">
        <v>312</v>
      </c>
      <c r="K45" s="68" t="s">
        <v>312</v>
      </c>
      <c r="L45" s="69" t="s">
        <v>312</v>
      </c>
      <c r="M45" s="69" t="s">
        <v>312</v>
      </c>
      <c r="N45" s="69" t="s">
        <v>312</v>
      </c>
      <c r="O45" s="69" t="s">
        <v>312</v>
      </c>
      <c r="P45" s="69" t="s">
        <v>312</v>
      </c>
      <c r="Q45" s="69" t="s">
        <v>312</v>
      </c>
      <c r="R45" s="69" t="s">
        <v>312</v>
      </c>
      <c r="S45" s="69" t="s">
        <v>312</v>
      </c>
      <c r="T45" s="68">
        <f>SUM(U45:Z45)</f>
        <v>0</v>
      </c>
      <c r="U45" s="69"/>
      <c r="V45" s="69"/>
      <c r="W45" s="69"/>
      <c r="X45" s="69"/>
      <c r="Y45" s="69"/>
      <c r="Z45" s="69" t="s">
        <v>312</v>
      </c>
    </row>
    <row r="46" spans="1:26" ht="26" hidden="1">
      <c r="A46" s="67" t="s">
        <v>334</v>
      </c>
      <c r="B46" s="67">
        <v>181.2</v>
      </c>
      <c r="C46" s="67">
        <v>420</v>
      </c>
      <c r="D46" s="68">
        <f>T46</f>
        <v>0</v>
      </c>
      <c r="E46" s="68" t="s">
        <v>312</v>
      </c>
      <c r="F46" s="69" t="s">
        <v>312</v>
      </c>
      <c r="G46" s="69" t="s">
        <v>312</v>
      </c>
      <c r="H46" s="211" t="s">
        <v>312</v>
      </c>
      <c r="I46" s="69" t="s">
        <v>312</v>
      </c>
      <c r="J46" s="69" t="s">
        <v>312</v>
      </c>
      <c r="K46" s="68" t="s">
        <v>312</v>
      </c>
      <c r="L46" s="69" t="s">
        <v>312</v>
      </c>
      <c r="M46" s="69" t="s">
        <v>312</v>
      </c>
      <c r="N46" s="69" t="s">
        <v>312</v>
      </c>
      <c r="O46" s="69" t="s">
        <v>312</v>
      </c>
      <c r="P46" s="69" t="s">
        <v>312</v>
      </c>
      <c r="Q46" s="69" t="s">
        <v>312</v>
      </c>
      <c r="R46" s="69" t="s">
        <v>312</v>
      </c>
      <c r="S46" s="69" t="s">
        <v>312</v>
      </c>
      <c r="T46" s="68">
        <f>SUM(U46:Z46)</f>
        <v>0</v>
      </c>
      <c r="U46" s="69"/>
      <c r="V46" s="69"/>
      <c r="W46" s="69"/>
      <c r="X46" s="69"/>
      <c r="Y46" s="69"/>
      <c r="Z46" s="69" t="s">
        <v>312</v>
      </c>
    </row>
    <row r="47" spans="1:26" ht="26" hidden="1">
      <c r="A47" s="67" t="s">
        <v>335</v>
      </c>
      <c r="B47" s="67">
        <v>181.3</v>
      </c>
      <c r="C47" s="67">
        <v>430</v>
      </c>
      <c r="D47" s="68">
        <f>E47+K47+S47+T47</f>
        <v>0</v>
      </c>
      <c r="E47" s="68"/>
      <c r="F47" s="69"/>
      <c r="G47" s="69"/>
      <c r="H47" s="211"/>
      <c r="I47" s="69"/>
      <c r="J47" s="69"/>
      <c r="K47" s="68"/>
      <c r="L47" s="69"/>
      <c r="M47" s="69"/>
      <c r="N47" s="69"/>
      <c r="O47" s="69"/>
      <c r="P47" s="69"/>
      <c r="Q47" s="69"/>
      <c r="R47" s="69"/>
      <c r="S47" s="69"/>
      <c r="T47" s="68">
        <f>SUM(U47:Z47)</f>
        <v>0</v>
      </c>
      <c r="U47" s="69"/>
      <c r="V47" s="69"/>
      <c r="W47" s="69"/>
      <c r="X47" s="69"/>
      <c r="Y47" s="69"/>
      <c r="Z47" s="69"/>
    </row>
    <row r="48" spans="1:26" ht="26" hidden="1">
      <c r="A48" s="67" t="s">
        <v>336</v>
      </c>
      <c r="B48" s="67">
        <v>181.4</v>
      </c>
      <c r="C48" s="67">
        <v>440</v>
      </c>
      <c r="D48" s="68">
        <f>E48+K48+S48+T48</f>
        <v>0</v>
      </c>
      <c r="E48" s="68"/>
      <c r="F48" s="69"/>
      <c r="G48" s="69"/>
      <c r="H48" s="211"/>
      <c r="I48" s="69"/>
      <c r="J48" s="69"/>
      <c r="K48" s="68"/>
      <c r="L48" s="69"/>
      <c r="M48" s="69"/>
      <c r="N48" s="69"/>
      <c r="O48" s="69"/>
      <c r="P48" s="69"/>
      <c r="Q48" s="69"/>
      <c r="R48" s="69"/>
      <c r="S48" s="69"/>
      <c r="T48" s="68">
        <f>SUM(U48:Z48)</f>
        <v>0</v>
      </c>
      <c r="U48" s="69"/>
      <c r="V48" s="69"/>
      <c r="W48" s="69"/>
      <c r="X48" s="69"/>
      <c r="Y48" s="69"/>
      <c r="Z48" s="69"/>
    </row>
    <row r="49" spans="1:27" ht="26" hidden="1">
      <c r="A49" s="67" t="s">
        <v>337</v>
      </c>
      <c r="B49" s="67">
        <v>182</v>
      </c>
      <c r="C49" s="67">
        <v>600</v>
      </c>
      <c r="D49" s="68">
        <f>E49+K49+S49+T49</f>
        <v>0</v>
      </c>
      <c r="E49" s="68"/>
      <c r="F49" s="69"/>
      <c r="G49" s="69"/>
      <c r="H49" s="211"/>
      <c r="I49" s="69"/>
      <c r="J49" s="69"/>
      <c r="K49" s="68"/>
      <c r="L49" s="69"/>
      <c r="M49" s="69"/>
      <c r="N49" s="69"/>
      <c r="O49" s="69"/>
      <c r="P49" s="69"/>
      <c r="Q49" s="69"/>
      <c r="R49" s="69"/>
      <c r="S49" s="69"/>
      <c r="T49" s="68">
        <f>SUM(U49:Z49)</f>
        <v>0</v>
      </c>
      <c r="U49" s="69"/>
      <c r="V49" s="69"/>
      <c r="W49" s="69"/>
      <c r="X49" s="69"/>
      <c r="Y49" s="69"/>
      <c r="Z49" s="69"/>
    </row>
    <row r="50" spans="1:27" hidden="1">
      <c r="A50" s="67" t="s">
        <v>225</v>
      </c>
      <c r="B50" s="67"/>
      <c r="C50" s="67"/>
      <c r="D50" s="68"/>
      <c r="E50" s="68"/>
      <c r="F50" s="69"/>
      <c r="G50" s="69"/>
      <c r="H50" s="211"/>
      <c r="I50" s="69"/>
      <c r="J50" s="69"/>
      <c r="K50" s="68"/>
      <c r="L50" s="69"/>
      <c r="M50" s="69"/>
      <c r="N50" s="69"/>
      <c r="O50" s="69"/>
      <c r="P50" s="69"/>
      <c r="Q50" s="69"/>
      <c r="R50" s="69"/>
      <c r="S50" s="69"/>
      <c r="T50" s="68"/>
      <c r="U50" s="69"/>
      <c r="V50" s="69"/>
      <c r="W50" s="69"/>
      <c r="X50" s="69"/>
      <c r="Y50" s="69"/>
      <c r="Z50" s="69"/>
    </row>
    <row r="51" spans="1:27" hidden="1">
      <c r="A51" s="67" t="s">
        <v>338</v>
      </c>
      <c r="B51" s="67"/>
      <c r="C51" s="67"/>
      <c r="D51" s="68">
        <f>E51+K51+S51+T51</f>
        <v>0</v>
      </c>
      <c r="E51" s="68"/>
      <c r="F51" s="69"/>
      <c r="G51" s="69"/>
      <c r="H51" s="211"/>
      <c r="I51" s="69"/>
      <c r="J51" s="69"/>
      <c r="K51" s="68"/>
      <c r="L51" s="69"/>
      <c r="M51" s="69"/>
      <c r="N51" s="69"/>
      <c r="O51" s="69"/>
      <c r="P51" s="69"/>
      <c r="Q51" s="69"/>
      <c r="R51" s="69"/>
      <c r="S51" s="69"/>
      <c r="T51" s="68">
        <f>SUM(U51:Z51)</f>
        <v>0</v>
      </c>
      <c r="U51" s="69"/>
      <c r="V51" s="69"/>
      <c r="W51" s="69"/>
      <c r="X51" s="69"/>
      <c r="Y51" s="69"/>
      <c r="Z51" s="69"/>
    </row>
    <row r="52" spans="1:27" ht="12" customHeight="1">
      <c r="A52" s="67"/>
      <c r="B52" s="67"/>
      <c r="C52" s="80"/>
      <c r="D52" s="81"/>
      <c r="E52" s="81"/>
      <c r="F52" s="81"/>
      <c r="G52" s="81"/>
      <c r="H52" s="213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>
        <f>Z10+Z145-Z146-Z53</f>
        <v>0</v>
      </c>
      <c r="AA52" s="82" t="s">
        <v>714</v>
      </c>
    </row>
    <row r="53" spans="1:27">
      <c r="A53" s="67" t="s">
        <v>339</v>
      </c>
      <c r="B53" s="67">
        <v>200</v>
      </c>
      <c r="C53" s="67" t="s">
        <v>340</v>
      </c>
      <c r="D53" s="68">
        <f>E53+K53+S53+T53</f>
        <v>36276675.649999999</v>
      </c>
      <c r="E53" s="68">
        <f>SUM(F53:J53)</f>
        <v>33860157.719999999</v>
      </c>
      <c r="F53" s="68">
        <f>F55+F70+F80+F92+F94+F96</f>
        <v>1086557.72</v>
      </c>
      <c r="G53" s="68">
        <f>G55+G70+G80+G92+G94+G96</f>
        <v>0</v>
      </c>
      <c r="H53" s="210">
        <f>H55+H70+H80+H92+H94+H96</f>
        <v>32584200</v>
      </c>
      <c r="I53" s="68">
        <f>I55+I70+I80+I92+I94+I96</f>
        <v>0</v>
      </c>
      <c r="J53" s="68">
        <f>J55+J70+J80+J92+J94+J96</f>
        <v>189400</v>
      </c>
      <c r="K53" s="68">
        <f>SUM(L53:R53)</f>
        <v>2380862.13</v>
      </c>
      <c r="L53" s="68">
        <f t="shared" ref="L53:S53" si="3">L55+L70+L80+L92+L94+L96</f>
        <v>569762.13</v>
      </c>
      <c r="M53" s="68">
        <f t="shared" si="3"/>
        <v>300</v>
      </c>
      <c r="N53" s="68">
        <f t="shared" si="3"/>
        <v>0</v>
      </c>
      <c r="O53" s="68">
        <f t="shared" si="3"/>
        <v>0</v>
      </c>
      <c r="P53" s="68">
        <f t="shared" si="3"/>
        <v>0</v>
      </c>
      <c r="Q53" s="68">
        <f t="shared" si="3"/>
        <v>1810800</v>
      </c>
      <c r="R53" s="68">
        <f t="shared" si="3"/>
        <v>0</v>
      </c>
      <c r="S53" s="68">
        <f t="shared" si="3"/>
        <v>0</v>
      </c>
      <c r="T53" s="68">
        <f>SUM(U53:Z53)</f>
        <v>35655.800000000003</v>
      </c>
      <c r="U53" s="68">
        <f t="shared" ref="U53:Z53" si="4">U55+U70+U80+U92+U94+U96</f>
        <v>0</v>
      </c>
      <c r="V53" s="68">
        <f t="shared" si="4"/>
        <v>0</v>
      </c>
      <c r="W53" s="68">
        <f t="shared" si="4"/>
        <v>0</v>
      </c>
      <c r="X53" s="68">
        <f t="shared" si="4"/>
        <v>0</v>
      </c>
      <c r="Y53" s="68">
        <f t="shared" si="4"/>
        <v>35000</v>
      </c>
      <c r="Z53" s="68">
        <f t="shared" si="4"/>
        <v>655.8</v>
      </c>
    </row>
    <row r="54" spans="1:27">
      <c r="A54" s="67" t="s">
        <v>341</v>
      </c>
      <c r="B54" s="67"/>
      <c r="C54" s="67"/>
      <c r="D54" s="68"/>
      <c r="E54" s="68"/>
      <c r="F54" s="69"/>
      <c r="G54" s="69"/>
      <c r="H54" s="211"/>
      <c r="I54" s="69"/>
      <c r="J54" s="69"/>
      <c r="K54" s="68"/>
      <c r="L54" s="69"/>
      <c r="M54" s="69"/>
      <c r="N54" s="69"/>
      <c r="O54" s="69"/>
      <c r="P54" s="69"/>
      <c r="Q54" s="69"/>
      <c r="R54" s="69"/>
      <c r="S54" s="69"/>
      <c r="T54" s="68"/>
      <c r="U54" s="69"/>
      <c r="V54" s="69"/>
      <c r="W54" s="69"/>
      <c r="X54" s="69"/>
      <c r="Y54" s="69"/>
      <c r="Z54" s="69"/>
    </row>
    <row r="55" spans="1:27" ht="39">
      <c r="A55" s="67" t="s">
        <v>678</v>
      </c>
      <c r="B55" s="67">
        <v>210</v>
      </c>
      <c r="C55" s="67">
        <v>100</v>
      </c>
      <c r="D55" s="68">
        <f>E55+K55+S55+T55</f>
        <v>33163992.949999999</v>
      </c>
      <c r="E55" s="68">
        <f>SUM(F55:J55)</f>
        <v>31595200</v>
      </c>
      <c r="F55" s="68">
        <f>F57</f>
        <v>390600</v>
      </c>
      <c r="G55" s="68">
        <f>G57</f>
        <v>0</v>
      </c>
      <c r="H55" s="210">
        <f>H57</f>
        <v>31204600</v>
      </c>
      <c r="I55" s="68">
        <f>I57</f>
        <v>0</v>
      </c>
      <c r="J55" s="68">
        <f>J57</f>
        <v>0</v>
      </c>
      <c r="K55" s="68">
        <f>SUM(L55:R55)</f>
        <v>1568792.95</v>
      </c>
      <c r="L55" s="68">
        <f t="shared" ref="L55:S55" si="5">L57</f>
        <v>508442.95</v>
      </c>
      <c r="M55" s="68">
        <f t="shared" si="5"/>
        <v>0</v>
      </c>
      <c r="N55" s="68">
        <f t="shared" si="5"/>
        <v>0</v>
      </c>
      <c r="O55" s="68">
        <f t="shared" si="5"/>
        <v>0</v>
      </c>
      <c r="P55" s="68">
        <f t="shared" si="5"/>
        <v>0</v>
      </c>
      <c r="Q55" s="68">
        <f t="shared" si="5"/>
        <v>1060350</v>
      </c>
      <c r="R55" s="68">
        <f t="shared" si="5"/>
        <v>0</v>
      </c>
      <c r="S55" s="68">
        <f t="shared" si="5"/>
        <v>0</v>
      </c>
      <c r="T55" s="68">
        <f>SUM(U55:Z55)</f>
        <v>0</v>
      </c>
      <c r="U55" s="68">
        <f t="shared" ref="U55:Z55" si="6">U57</f>
        <v>0</v>
      </c>
      <c r="V55" s="68">
        <f t="shared" si="6"/>
        <v>0</v>
      </c>
      <c r="W55" s="68">
        <f t="shared" si="6"/>
        <v>0</v>
      </c>
      <c r="X55" s="68">
        <f t="shared" si="6"/>
        <v>0</v>
      </c>
      <c r="Y55" s="68">
        <f t="shared" si="6"/>
        <v>0</v>
      </c>
      <c r="Z55" s="68">
        <f t="shared" si="6"/>
        <v>0</v>
      </c>
    </row>
    <row r="56" spans="1:27">
      <c r="A56" s="67" t="s">
        <v>225</v>
      </c>
      <c r="B56" s="67"/>
      <c r="C56" s="67"/>
      <c r="D56" s="68"/>
      <c r="E56" s="68"/>
      <c r="F56" s="69"/>
      <c r="G56" s="69"/>
      <c r="H56" s="211"/>
      <c r="I56" s="69"/>
      <c r="J56" s="69"/>
      <c r="K56" s="68"/>
      <c r="L56" s="69"/>
      <c r="M56" s="69"/>
      <c r="N56" s="69"/>
      <c r="O56" s="69"/>
      <c r="P56" s="69"/>
      <c r="Q56" s="69"/>
      <c r="R56" s="69"/>
      <c r="S56" s="69"/>
      <c r="T56" s="68"/>
      <c r="U56" s="69"/>
      <c r="V56" s="69"/>
      <c r="W56" s="69"/>
      <c r="X56" s="69"/>
      <c r="Y56" s="69"/>
      <c r="Z56" s="69"/>
    </row>
    <row r="57" spans="1:27">
      <c r="A57" s="67" t="s">
        <v>342</v>
      </c>
      <c r="B57" s="67">
        <v>211</v>
      </c>
      <c r="C57" s="67">
        <v>110</v>
      </c>
      <c r="D57" s="68">
        <f>E57+K57+S57+T57</f>
        <v>33163992.949999999</v>
      </c>
      <c r="E57" s="68">
        <f>SUM(F57:J57)</f>
        <v>31595200</v>
      </c>
      <c r="F57" s="68">
        <f>SUM(F59:F69)</f>
        <v>390600</v>
      </c>
      <c r="G57" s="68">
        <f>SUM(G59:G69)</f>
        <v>0</v>
      </c>
      <c r="H57" s="210">
        <f>SUM(H59:H69)</f>
        <v>31204600</v>
      </c>
      <c r="I57" s="68">
        <f>SUM(I59:I69)</f>
        <v>0</v>
      </c>
      <c r="J57" s="68">
        <f>SUM(J59:J69)</f>
        <v>0</v>
      </c>
      <c r="K57" s="68">
        <f>SUM(L57:R57)</f>
        <v>1568792.95</v>
      </c>
      <c r="L57" s="68">
        <f t="shared" ref="L57:S57" si="7">SUM(L59:L69)</f>
        <v>508442.95</v>
      </c>
      <c r="M57" s="68">
        <f t="shared" si="7"/>
        <v>0</v>
      </c>
      <c r="N57" s="68">
        <f t="shared" si="7"/>
        <v>0</v>
      </c>
      <c r="O57" s="68">
        <f t="shared" si="7"/>
        <v>0</v>
      </c>
      <c r="P57" s="68">
        <f t="shared" si="7"/>
        <v>0</v>
      </c>
      <c r="Q57" s="68">
        <f t="shared" si="7"/>
        <v>1060350</v>
      </c>
      <c r="R57" s="68">
        <f t="shared" si="7"/>
        <v>0</v>
      </c>
      <c r="S57" s="68">
        <f t="shared" si="7"/>
        <v>0</v>
      </c>
      <c r="T57" s="68">
        <f>SUM(U57:Z57)</f>
        <v>0</v>
      </c>
      <c r="U57" s="68">
        <f t="shared" ref="U57:Z57" si="8">SUM(U59:U69)</f>
        <v>0</v>
      </c>
      <c r="V57" s="68">
        <f t="shared" si="8"/>
        <v>0</v>
      </c>
      <c r="W57" s="68">
        <f t="shared" si="8"/>
        <v>0</v>
      </c>
      <c r="X57" s="68">
        <f t="shared" si="8"/>
        <v>0</v>
      </c>
      <c r="Y57" s="68">
        <f t="shared" si="8"/>
        <v>0</v>
      </c>
      <c r="Z57" s="68">
        <f t="shared" si="8"/>
        <v>0</v>
      </c>
    </row>
    <row r="58" spans="1:27">
      <c r="A58" s="67" t="s">
        <v>225</v>
      </c>
      <c r="B58" s="67"/>
      <c r="C58" s="67"/>
      <c r="D58" s="68"/>
      <c r="E58" s="68"/>
      <c r="F58" s="69"/>
      <c r="G58" s="69"/>
      <c r="H58" s="211"/>
      <c r="I58" s="69"/>
      <c r="J58" s="69"/>
      <c r="K58" s="68"/>
      <c r="L58" s="69"/>
      <c r="M58" s="69"/>
      <c r="N58" s="69"/>
      <c r="O58" s="69"/>
      <c r="P58" s="69"/>
      <c r="Q58" s="69"/>
      <c r="R58" s="69"/>
      <c r="S58" s="69"/>
      <c r="T58" s="68"/>
      <c r="U58" s="69"/>
      <c r="V58" s="69"/>
      <c r="W58" s="69"/>
      <c r="X58" s="69"/>
      <c r="Y58" s="69"/>
      <c r="Z58" s="69"/>
    </row>
    <row r="59" spans="1:27" ht="26">
      <c r="A59" s="67" t="s">
        <v>343</v>
      </c>
      <c r="B59" s="67">
        <v>211.1</v>
      </c>
      <c r="C59" s="67" t="s">
        <v>621</v>
      </c>
      <c r="D59" s="68">
        <f t="shared" ref="D59:D70" si="9">E59+K59+S59+T59</f>
        <v>24327300</v>
      </c>
      <c r="E59" s="68">
        <f>SUM(F59:J59)</f>
        <v>24327300</v>
      </c>
      <c r="F59" s="69">
        <v>300000</v>
      </c>
      <c r="G59" s="69"/>
      <c r="H59" s="211">
        <v>24027300</v>
      </c>
      <c r="I59" s="69"/>
      <c r="J59" s="69"/>
      <c r="K59" s="68">
        <f>SUM(L59:R59)</f>
        <v>0</v>
      </c>
      <c r="L59" s="69"/>
      <c r="M59" s="69"/>
      <c r="N59" s="69"/>
      <c r="O59" s="69"/>
      <c r="P59" s="69"/>
      <c r="Q59" s="69"/>
      <c r="R59" s="69"/>
      <c r="S59" s="69"/>
      <c r="T59" s="68">
        <f t="shared" ref="T59:T68" si="10">SUM(U59:Z59)</f>
        <v>0</v>
      </c>
      <c r="U59" s="69"/>
      <c r="V59" s="69"/>
      <c r="W59" s="69"/>
      <c r="X59" s="69"/>
      <c r="Y59" s="69"/>
      <c r="Z59" s="69"/>
    </row>
    <row r="60" spans="1:27" ht="26">
      <c r="A60" s="67" t="s">
        <v>659</v>
      </c>
      <c r="B60" s="67">
        <v>211.2</v>
      </c>
      <c r="C60" s="67" t="s">
        <v>622</v>
      </c>
      <c r="D60" s="68">
        <f t="shared" si="9"/>
        <v>508442.95</v>
      </c>
      <c r="E60" s="68">
        <f>SUM(F60:J60)</f>
        <v>0</v>
      </c>
      <c r="F60" s="69"/>
      <c r="G60" s="69"/>
      <c r="H60" s="211">
        <v>0</v>
      </c>
      <c r="I60" s="69"/>
      <c r="J60" s="69"/>
      <c r="K60" s="68">
        <f>SUM(L60:R60)</f>
        <v>508442.95</v>
      </c>
      <c r="L60" s="69">
        <f>562400-61319.18+7362.13</f>
        <v>508442.95</v>
      </c>
      <c r="M60" s="69"/>
      <c r="N60" s="69"/>
      <c r="O60" s="69"/>
      <c r="P60" s="69"/>
      <c r="Q60" s="69"/>
      <c r="R60" s="69"/>
      <c r="S60" s="69"/>
      <c r="T60" s="68">
        <f t="shared" si="10"/>
        <v>0</v>
      </c>
      <c r="U60" s="69"/>
      <c r="V60" s="69"/>
      <c r="W60" s="69"/>
      <c r="X60" s="69"/>
      <c r="Y60" s="69"/>
      <c r="Z60" s="69"/>
    </row>
    <row r="61" spans="1:27" ht="26" hidden="1">
      <c r="A61" s="67" t="s">
        <v>344</v>
      </c>
      <c r="B61" s="67">
        <v>211.3</v>
      </c>
      <c r="C61" s="67" t="s">
        <v>345</v>
      </c>
      <c r="D61" s="68">
        <f t="shared" si="9"/>
        <v>0</v>
      </c>
      <c r="E61" s="68">
        <f>SUM(F61:J61)</f>
        <v>0</v>
      </c>
      <c r="F61" s="69"/>
      <c r="G61" s="69"/>
      <c r="H61" s="211"/>
      <c r="I61" s="69"/>
      <c r="J61" s="69"/>
      <c r="K61" s="68">
        <f>SUM(L61:R61)</f>
        <v>0</v>
      </c>
      <c r="L61" s="69"/>
      <c r="M61" s="69"/>
      <c r="N61" s="69"/>
      <c r="O61" s="69"/>
      <c r="P61" s="69"/>
      <c r="Q61" s="69"/>
      <c r="R61" s="69"/>
      <c r="S61" s="69"/>
      <c r="T61" s="68">
        <f t="shared" si="10"/>
        <v>0</v>
      </c>
      <c r="U61" s="69"/>
      <c r="V61" s="69"/>
      <c r="W61" s="69"/>
      <c r="X61" s="69"/>
      <c r="Y61" s="69"/>
      <c r="Z61" s="69"/>
    </row>
    <row r="62" spans="1:27" ht="91" hidden="1">
      <c r="A62" s="67" t="s">
        <v>346</v>
      </c>
      <c r="B62" s="67">
        <v>211.4</v>
      </c>
      <c r="C62" s="67" t="s">
        <v>347</v>
      </c>
      <c r="D62" s="68">
        <f t="shared" si="9"/>
        <v>0</v>
      </c>
      <c r="E62" s="68">
        <f>SUM(F62:J62)</f>
        <v>0</v>
      </c>
      <c r="F62" s="69"/>
      <c r="G62" s="69"/>
      <c r="H62" s="211"/>
      <c r="I62" s="69"/>
      <c r="J62" s="69"/>
      <c r="K62" s="68">
        <f>SUM(L62:R62)</f>
        <v>0</v>
      </c>
      <c r="L62" s="69"/>
      <c r="M62" s="69"/>
      <c r="N62" s="69"/>
      <c r="O62" s="69"/>
      <c r="P62" s="69"/>
      <c r="Q62" s="69"/>
      <c r="R62" s="69"/>
      <c r="S62" s="69"/>
      <c r="T62" s="68">
        <f t="shared" si="10"/>
        <v>0</v>
      </c>
      <c r="U62" s="69"/>
      <c r="V62" s="69"/>
      <c r="W62" s="69"/>
      <c r="X62" s="69"/>
      <c r="Y62" s="69"/>
      <c r="Z62" s="69"/>
    </row>
    <row r="63" spans="1:27" ht="27.75" customHeight="1">
      <c r="A63" s="67" t="s">
        <v>348</v>
      </c>
      <c r="B63" s="67">
        <v>211.5</v>
      </c>
      <c r="C63" s="67" t="s">
        <v>623</v>
      </c>
      <c r="D63" s="68">
        <f t="shared" si="9"/>
        <v>133350</v>
      </c>
      <c r="E63" s="68">
        <f t="shared" ref="E63:E72" si="11">SUM(F63:J63)</f>
        <v>0</v>
      </c>
      <c r="F63" s="69"/>
      <c r="G63" s="69"/>
      <c r="H63" s="211"/>
      <c r="I63" s="69"/>
      <c r="J63" s="69"/>
      <c r="K63" s="68">
        <f t="shared" ref="K63:K72" si="12">SUM(L63:R63)</f>
        <v>133350</v>
      </c>
      <c r="L63" s="69"/>
      <c r="M63" s="69"/>
      <c r="N63" s="69"/>
      <c r="O63" s="69"/>
      <c r="P63" s="69"/>
      <c r="Q63" s="69">
        <f>93700+38100+1550</f>
        <v>133350</v>
      </c>
      <c r="R63" s="69"/>
      <c r="S63" s="69"/>
      <c r="T63" s="68">
        <f t="shared" si="10"/>
        <v>0</v>
      </c>
      <c r="U63" s="69"/>
      <c r="V63" s="69"/>
      <c r="W63" s="69"/>
      <c r="X63" s="69"/>
      <c r="Y63" s="69"/>
      <c r="Z63" s="69"/>
    </row>
    <row r="64" spans="1:27" ht="26" hidden="1">
      <c r="A64" s="67" t="s">
        <v>349</v>
      </c>
      <c r="B64" s="67">
        <v>211.6</v>
      </c>
      <c r="C64" s="67" t="s">
        <v>350</v>
      </c>
      <c r="D64" s="68">
        <f t="shared" si="9"/>
        <v>0</v>
      </c>
      <c r="E64" s="68">
        <f t="shared" si="11"/>
        <v>0</v>
      </c>
      <c r="F64" s="69"/>
      <c r="G64" s="69"/>
      <c r="H64" s="211"/>
      <c r="I64" s="69"/>
      <c r="J64" s="69"/>
      <c r="K64" s="68">
        <f t="shared" si="12"/>
        <v>0</v>
      </c>
      <c r="L64" s="69"/>
      <c r="M64" s="69"/>
      <c r="N64" s="69"/>
      <c r="O64" s="69"/>
      <c r="P64" s="69"/>
      <c r="Q64" s="69"/>
      <c r="R64" s="69"/>
      <c r="S64" s="69"/>
      <c r="T64" s="68">
        <f t="shared" si="10"/>
        <v>0</v>
      </c>
      <c r="U64" s="69"/>
      <c r="V64" s="69"/>
      <c r="W64" s="69"/>
      <c r="X64" s="69"/>
      <c r="Y64" s="69"/>
      <c r="Z64" s="69"/>
    </row>
    <row r="65" spans="1:26" ht="27" customHeight="1">
      <c r="A65" s="67" t="s">
        <v>351</v>
      </c>
      <c r="B65" s="67">
        <v>211.7</v>
      </c>
      <c r="C65" s="67" t="s">
        <v>624</v>
      </c>
      <c r="D65" s="68">
        <f t="shared" si="9"/>
        <v>88000</v>
      </c>
      <c r="E65" s="68">
        <f t="shared" si="11"/>
        <v>0</v>
      </c>
      <c r="F65" s="69"/>
      <c r="G65" s="69"/>
      <c r="H65" s="211"/>
      <c r="I65" s="69"/>
      <c r="J65" s="69"/>
      <c r="K65" s="68">
        <f t="shared" si="12"/>
        <v>88000</v>
      </c>
      <c r="L65" s="69"/>
      <c r="M65" s="69"/>
      <c r="N65" s="69"/>
      <c r="O65" s="69"/>
      <c r="P65" s="69"/>
      <c r="Q65" s="69">
        <f>67000+21000</f>
        <v>88000</v>
      </c>
      <c r="R65" s="69"/>
      <c r="S65" s="69"/>
      <c r="T65" s="68">
        <f t="shared" si="10"/>
        <v>0</v>
      </c>
      <c r="U65" s="69"/>
      <c r="V65" s="69"/>
      <c r="W65" s="69"/>
      <c r="X65" s="69"/>
      <c r="Y65" s="69"/>
      <c r="Z65" s="69"/>
    </row>
    <row r="66" spans="1:26" ht="26" hidden="1">
      <c r="A66" s="67" t="s">
        <v>352</v>
      </c>
      <c r="B66" s="67">
        <v>211.8</v>
      </c>
      <c r="C66" s="67" t="s">
        <v>625</v>
      </c>
      <c r="D66" s="68">
        <f t="shared" si="9"/>
        <v>0</v>
      </c>
      <c r="E66" s="68">
        <f t="shared" si="11"/>
        <v>0</v>
      </c>
      <c r="F66" s="69"/>
      <c r="G66" s="69"/>
      <c r="H66" s="211"/>
      <c r="I66" s="69"/>
      <c r="J66" s="69"/>
      <c r="K66" s="68">
        <f t="shared" si="12"/>
        <v>0</v>
      </c>
      <c r="L66" s="69"/>
      <c r="M66" s="69"/>
      <c r="N66" s="69"/>
      <c r="O66" s="69"/>
      <c r="P66" s="69"/>
      <c r="Q66" s="69"/>
      <c r="R66" s="69"/>
      <c r="S66" s="69"/>
      <c r="T66" s="68">
        <f t="shared" si="10"/>
        <v>0</v>
      </c>
      <c r="U66" s="69"/>
      <c r="V66" s="69"/>
      <c r="W66" s="69"/>
      <c r="X66" s="69"/>
      <c r="Y66" s="69"/>
      <c r="Z66" s="69"/>
    </row>
    <row r="67" spans="1:26" ht="91" hidden="1">
      <c r="A67" s="67" t="s">
        <v>353</v>
      </c>
      <c r="B67" s="67">
        <v>211.9</v>
      </c>
      <c r="C67" s="67" t="s">
        <v>354</v>
      </c>
      <c r="D67" s="68">
        <f t="shared" si="9"/>
        <v>0</v>
      </c>
      <c r="E67" s="68">
        <f t="shared" si="11"/>
        <v>0</v>
      </c>
      <c r="F67" s="69"/>
      <c r="G67" s="69"/>
      <c r="H67" s="211"/>
      <c r="I67" s="69"/>
      <c r="J67" s="69"/>
      <c r="K67" s="68">
        <f t="shared" si="12"/>
        <v>0</v>
      </c>
      <c r="L67" s="69"/>
      <c r="M67" s="69"/>
      <c r="N67" s="69"/>
      <c r="O67" s="69"/>
      <c r="P67" s="69"/>
      <c r="Q67" s="69"/>
      <c r="R67" s="69"/>
      <c r="S67" s="69"/>
      <c r="T67" s="68">
        <f t="shared" si="10"/>
        <v>0</v>
      </c>
      <c r="U67" s="69"/>
      <c r="V67" s="69"/>
      <c r="W67" s="69"/>
      <c r="X67" s="69"/>
      <c r="Y67" s="69"/>
      <c r="Z67" s="69"/>
    </row>
    <row r="68" spans="1:26" ht="78">
      <c r="A68" s="67" t="s">
        <v>355</v>
      </c>
      <c r="B68" s="67">
        <v>211.1</v>
      </c>
      <c r="C68" s="67" t="s">
        <v>356</v>
      </c>
      <c r="D68" s="68">
        <f t="shared" si="9"/>
        <v>839000</v>
      </c>
      <c r="E68" s="68">
        <f t="shared" si="11"/>
        <v>0</v>
      </c>
      <c r="F68" s="69"/>
      <c r="G68" s="69"/>
      <c r="H68" s="211"/>
      <c r="I68" s="69"/>
      <c r="J68" s="69"/>
      <c r="K68" s="68">
        <f t="shared" si="12"/>
        <v>839000</v>
      </c>
      <c r="L68" s="69"/>
      <c r="M68" s="69"/>
      <c r="N68" s="69"/>
      <c r="O68" s="69"/>
      <c r="P68" s="69"/>
      <c r="Q68" s="69">
        <f>898100-59100</f>
        <v>839000</v>
      </c>
      <c r="R68" s="69"/>
      <c r="S68" s="69"/>
      <c r="T68" s="68">
        <f t="shared" si="10"/>
        <v>0</v>
      </c>
      <c r="U68" s="69"/>
      <c r="V68" s="69"/>
      <c r="W68" s="69"/>
      <c r="X68" s="69"/>
      <c r="Y68" s="69"/>
      <c r="Z68" s="69"/>
    </row>
    <row r="69" spans="1:26" ht="24.75" customHeight="1">
      <c r="A69" s="67" t="s">
        <v>357</v>
      </c>
      <c r="B69" s="67">
        <v>211.11</v>
      </c>
      <c r="C69" s="67" t="s">
        <v>626</v>
      </c>
      <c r="D69" s="68">
        <f t="shared" si="9"/>
        <v>7267900</v>
      </c>
      <c r="E69" s="68">
        <f t="shared" si="11"/>
        <v>7267900</v>
      </c>
      <c r="F69" s="69">
        <v>90600</v>
      </c>
      <c r="G69" s="69"/>
      <c r="H69" s="211">
        <f>7256300-79000</f>
        <v>7177300</v>
      </c>
      <c r="I69" s="69"/>
      <c r="J69" s="69"/>
      <c r="K69" s="68">
        <f t="shared" si="12"/>
        <v>0</v>
      </c>
      <c r="L69" s="69"/>
      <c r="M69" s="69"/>
      <c r="N69" s="69"/>
      <c r="O69" s="69"/>
      <c r="P69" s="69"/>
      <c r="Q69" s="69"/>
      <c r="R69" s="69"/>
      <c r="S69" s="69"/>
      <c r="T69" s="68">
        <f>SUM(U69:Z69)</f>
        <v>0</v>
      </c>
      <c r="U69" s="69"/>
      <c r="V69" s="69"/>
      <c r="W69" s="69"/>
      <c r="X69" s="69"/>
      <c r="Y69" s="69"/>
      <c r="Z69" s="69"/>
    </row>
    <row r="70" spans="1:26" ht="26">
      <c r="A70" s="67" t="s">
        <v>358</v>
      </c>
      <c r="B70" s="67">
        <v>220</v>
      </c>
      <c r="C70" s="67">
        <v>300</v>
      </c>
      <c r="D70" s="68">
        <f t="shared" si="9"/>
        <v>61319.18</v>
      </c>
      <c r="E70" s="68">
        <f t="shared" si="11"/>
        <v>0</v>
      </c>
      <c r="F70" s="68">
        <f>F72</f>
        <v>0</v>
      </c>
      <c r="G70" s="68">
        <f t="shared" ref="G70:Z70" si="13">G72</f>
        <v>0</v>
      </c>
      <c r="H70" s="210">
        <f t="shared" si="13"/>
        <v>0</v>
      </c>
      <c r="I70" s="68">
        <f t="shared" si="13"/>
        <v>0</v>
      </c>
      <c r="J70" s="68">
        <f t="shared" si="13"/>
        <v>0</v>
      </c>
      <c r="K70" s="68">
        <f t="shared" si="12"/>
        <v>61319.18</v>
      </c>
      <c r="L70" s="68">
        <f t="shared" si="13"/>
        <v>61319.18</v>
      </c>
      <c r="M70" s="68">
        <f t="shared" si="13"/>
        <v>0</v>
      </c>
      <c r="N70" s="68">
        <f t="shared" si="13"/>
        <v>0</v>
      </c>
      <c r="O70" s="68">
        <f t="shared" si="13"/>
        <v>0</v>
      </c>
      <c r="P70" s="68">
        <f t="shared" si="13"/>
        <v>0</v>
      </c>
      <c r="Q70" s="68">
        <f t="shared" si="13"/>
        <v>0</v>
      </c>
      <c r="R70" s="68">
        <f t="shared" si="13"/>
        <v>0</v>
      </c>
      <c r="S70" s="68">
        <f t="shared" si="13"/>
        <v>0</v>
      </c>
      <c r="T70" s="68">
        <f>SUM(U70:Z70)</f>
        <v>0</v>
      </c>
      <c r="U70" s="68">
        <f t="shared" si="13"/>
        <v>0</v>
      </c>
      <c r="V70" s="68">
        <f t="shared" si="13"/>
        <v>0</v>
      </c>
      <c r="W70" s="68">
        <f t="shared" si="13"/>
        <v>0</v>
      </c>
      <c r="X70" s="68">
        <f t="shared" si="13"/>
        <v>0</v>
      </c>
      <c r="Y70" s="68">
        <f t="shared" si="13"/>
        <v>0</v>
      </c>
      <c r="Z70" s="68">
        <f t="shared" si="13"/>
        <v>0</v>
      </c>
    </row>
    <row r="71" spans="1:26" ht="11.25" customHeight="1">
      <c r="A71" s="67" t="s">
        <v>227</v>
      </c>
      <c r="B71" s="67"/>
      <c r="C71" s="67"/>
      <c r="D71" s="68"/>
      <c r="E71" s="68"/>
      <c r="F71" s="69"/>
      <c r="G71" s="69"/>
      <c r="H71" s="211"/>
      <c r="I71" s="69"/>
      <c r="J71" s="69"/>
      <c r="K71" s="68"/>
      <c r="L71" s="69"/>
      <c r="M71" s="69"/>
      <c r="N71" s="69"/>
      <c r="O71" s="69"/>
      <c r="P71" s="69"/>
      <c r="Q71" s="69"/>
      <c r="R71" s="69"/>
      <c r="S71" s="69"/>
      <c r="T71" s="68"/>
      <c r="U71" s="69"/>
      <c r="V71" s="69"/>
      <c r="W71" s="69"/>
      <c r="X71" s="69"/>
      <c r="Y71" s="69"/>
      <c r="Z71" s="69"/>
    </row>
    <row r="72" spans="1:26" ht="50.25" customHeight="1">
      <c r="A72" s="67" t="s">
        <v>359</v>
      </c>
      <c r="B72" s="67">
        <v>221</v>
      </c>
      <c r="C72" s="67">
        <v>320</v>
      </c>
      <c r="D72" s="68">
        <f>E72+K72+S72+T72</f>
        <v>61319.18</v>
      </c>
      <c r="E72" s="68">
        <f t="shared" si="11"/>
        <v>0</v>
      </c>
      <c r="F72" s="68">
        <f>SUM(F74:F79)</f>
        <v>0</v>
      </c>
      <c r="G72" s="68">
        <f>SUM(G74:G79)</f>
        <v>0</v>
      </c>
      <c r="H72" s="210">
        <f>SUM(H74:H79)</f>
        <v>0</v>
      </c>
      <c r="I72" s="68">
        <f>SUM(I74:I79)</f>
        <v>0</v>
      </c>
      <c r="J72" s="68">
        <f>SUM(J74:J79)</f>
        <v>0</v>
      </c>
      <c r="K72" s="68">
        <f t="shared" si="12"/>
        <v>61319.18</v>
      </c>
      <c r="L72" s="68">
        <f t="shared" ref="L72:S72" si="14">SUM(L74:L79)</f>
        <v>61319.18</v>
      </c>
      <c r="M72" s="68">
        <f t="shared" si="14"/>
        <v>0</v>
      </c>
      <c r="N72" s="68">
        <f t="shared" si="14"/>
        <v>0</v>
      </c>
      <c r="O72" s="68">
        <f t="shared" si="14"/>
        <v>0</v>
      </c>
      <c r="P72" s="68">
        <f t="shared" si="14"/>
        <v>0</v>
      </c>
      <c r="Q72" s="68">
        <f t="shared" si="14"/>
        <v>0</v>
      </c>
      <c r="R72" s="68">
        <f t="shared" si="14"/>
        <v>0</v>
      </c>
      <c r="S72" s="68">
        <f t="shared" si="14"/>
        <v>0</v>
      </c>
      <c r="T72" s="68">
        <f>SUM(U72:Z72)</f>
        <v>0</v>
      </c>
      <c r="U72" s="68">
        <f t="shared" ref="U72:Z72" si="15">SUM(U74:U79)</f>
        <v>0</v>
      </c>
      <c r="V72" s="68">
        <f t="shared" si="15"/>
        <v>0</v>
      </c>
      <c r="W72" s="68">
        <f t="shared" si="15"/>
        <v>0</v>
      </c>
      <c r="X72" s="68">
        <f t="shared" si="15"/>
        <v>0</v>
      </c>
      <c r="Y72" s="68">
        <f t="shared" si="15"/>
        <v>0</v>
      </c>
      <c r="Z72" s="68">
        <f t="shared" si="15"/>
        <v>0</v>
      </c>
    </row>
    <row r="73" spans="1:26">
      <c r="A73" s="67" t="s">
        <v>225</v>
      </c>
      <c r="B73" s="79"/>
      <c r="C73" s="79"/>
      <c r="D73" s="68"/>
      <c r="E73" s="68"/>
      <c r="F73" s="69"/>
      <c r="G73" s="69"/>
      <c r="H73" s="211"/>
      <c r="I73" s="69"/>
      <c r="J73" s="69"/>
      <c r="K73" s="68"/>
      <c r="L73" s="69"/>
      <c r="M73" s="69"/>
      <c r="N73" s="69"/>
      <c r="O73" s="69"/>
      <c r="P73" s="69"/>
      <c r="Q73" s="69"/>
      <c r="R73" s="69"/>
      <c r="S73" s="69"/>
      <c r="T73" s="68"/>
      <c r="U73" s="69"/>
      <c r="V73" s="69"/>
      <c r="W73" s="69"/>
      <c r="X73" s="69"/>
      <c r="Y73" s="69"/>
      <c r="Z73" s="69"/>
    </row>
    <row r="74" spans="1:26" ht="26" hidden="1">
      <c r="A74" s="67" t="s">
        <v>360</v>
      </c>
      <c r="B74" s="67">
        <v>221.1</v>
      </c>
      <c r="C74" s="67" t="s">
        <v>361</v>
      </c>
      <c r="D74" s="68">
        <f t="shared" ref="D74:D80" si="16">E74+K74+S74+T74</f>
        <v>0</v>
      </c>
      <c r="E74" s="68">
        <f t="shared" ref="E74:E80" si="17">SUM(F74:J74)</f>
        <v>0</v>
      </c>
      <c r="F74" s="69"/>
      <c r="G74" s="69"/>
      <c r="H74" s="211"/>
      <c r="I74" s="69"/>
      <c r="J74" s="69"/>
      <c r="K74" s="68">
        <f t="shared" ref="K74:K80" si="18">SUM(L74:R74)</f>
        <v>0</v>
      </c>
      <c r="L74" s="69"/>
      <c r="M74" s="69"/>
      <c r="N74" s="69"/>
      <c r="O74" s="69"/>
      <c r="P74" s="69"/>
      <c r="Q74" s="69"/>
      <c r="R74" s="69"/>
      <c r="S74" s="69"/>
      <c r="T74" s="68">
        <f t="shared" ref="T74:T80" si="19">SUM(U74:Z74)</f>
        <v>0</v>
      </c>
      <c r="U74" s="69"/>
      <c r="V74" s="69"/>
      <c r="W74" s="69"/>
      <c r="X74" s="69"/>
      <c r="Y74" s="69"/>
      <c r="Z74" s="69"/>
    </row>
    <row r="75" spans="1:26" ht="26" hidden="1">
      <c r="A75" s="67" t="s">
        <v>660</v>
      </c>
      <c r="B75" s="67">
        <v>221.2</v>
      </c>
      <c r="C75" s="67" t="s">
        <v>362</v>
      </c>
      <c r="D75" s="68">
        <f t="shared" si="16"/>
        <v>0</v>
      </c>
      <c r="E75" s="68">
        <f t="shared" si="17"/>
        <v>0</v>
      </c>
      <c r="F75" s="69"/>
      <c r="G75" s="69"/>
      <c r="H75" s="211"/>
      <c r="I75" s="69"/>
      <c r="J75" s="69"/>
      <c r="K75" s="68">
        <f t="shared" si="18"/>
        <v>0</v>
      </c>
      <c r="L75" s="69"/>
      <c r="M75" s="69"/>
      <c r="N75" s="69"/>
      <c r="O75" s="69"/>
      <c r="P75" s="69"/>
      <c r="Q75" s="69"/>
      <c r="R75" s="69"/>
      <c r="S75" s="69"/>
      <c r="T75" s="68">
        <f t="shared" si="19"/>
        <v>0</v>
      </c>
      <c r="U75" s="69"/>
      <c r="V75" s="69"/>
      <c r="W75" s="69"/>
      <c r="X75" s="69"/>
      <c r="Y75" s="69"/>
      <c r="Z75" s="69"/>
    </row>
    <row r="76" spans="1:26" ht="52">
      <c r="A76" s="67" t="s">
        <v>363</v>
      </c>
      <c r="B76" s="67">
        <v>221.3</v>
      </c>
      <c r="C76" s="67" t="s">
        <v>364</v>
      </c>
      <c r="D76" s="68">
        <f t="shared" si="16"/>
        <v>61319.18</v>
      </c>
      <c r="E76" s="68">
        <f t="shared" si="17"/>
        <v>0</v>
      </c>
      <c r="F76" s="69"/>
      <c r="G76" s="69"/>
      <c r="H76" s="211"/>
      <c r="I76" s="69"/>
      <c r="J76" s="69"/>
      <c r="K76" s="68">
        <f t="shared" si="18"/>
        <v>61319.18</v>
      </c>
      <c r="L76" s="69">
        <f>61319.18</f>
        <v>61319.18</v>
      </c>
      <c r="M76" s="69"/>
      <c r="N76" s="69"/>
      <c r="O76" s="69"/>
      <c r="P76" s="69"/>
      <c r="Q76" s="69"/>
      <c r="R76" s="69"/>
      <c r="S76" s="69"/>
      <c r="T76" s="68">
        <f t="shared" si="19"/>
        <v>0</v>
      </c>
      <c r="U76" s="69"/>
      <c r="V76" s="69"/>
      <c r="W76" s="69"/>
      <c r="X76" s="69"/>
      <c r="Y76" s="69"/>
      <c r="Z76" s="69"/>
    </row>
    <row r="77" spans="1:26" ht="26" hidden="1">
      <c r="A77" s="67" t="s">
        <v>365</v>
      </c>
      <c r="B77" s="67">
        <v>222</v>
      </c>
      <c r="C77" s="67" t="s">
        <v>366</v>
      </c>
      <c r="D77" s="68">
        <f t="shared" si="16"/>
        <v>0</v>
      </c>
      <c r="E77" s="68">
        <f t="shared" si="17"/>
        <v>0</v>
      </c>
      <c r="F77" s="69"/>
      <c r="G77" s="69"/>
      <c r="H77" s="211"/>
      <c r="I77" s="69"/>
      <c r="J77" s="69"/>
      <c r="K77" s="68">
        <f t="shared" si="18"/>
        <v>0</v>
      </c>
      <c r="L77" s="69"/>
      <c r="M77" s="69"/>
      <c r="N77" s="69"/>
      <c r="O77" s="69"/>
      <c r="P77" s="69"/>
      <c r="Q77" s="69"/>
      <c r="R77" s="69"/>
      <c r="S77" s="69"/>
      <c r="T77" s="68">
        <f t="shared" si="19"/>
        <v>0</v>
      </c>
      <c r="U77" s="69"/>
      <c r="V77" s="69"/>
      <c r="W77" s="69"/>
      <c r="X77" s="69"/>
      <c r="Y77" s="69"/>
      <c r="Z77" s="69"/>
    </row>
    <row r="78" spans="1:26" ht="26" hidden="1">
      <c r="A78" s="67" t="s">
        <v>367</v>
      </c>
      <c r="B78" s="67">
        <v>223</v>
      </c>
      <c r="C78" s="67" t="s">
        <v>368</v>
      </c>
      <c r="D78" s="68">
        <f t="shared" si="16"/>
        <v>0</v>
      </c>
      <c r="E78" s="68">
        <f t="shared" si="17"/>
        <v>0</v>
      </c>
      <c r="F78" s="69"/>
      <c r="G78" s="69"/>
      <c r="H78" s="211"/>
      <c r="I78" s="69"/>
      <c r="J78" s="69"/>
      <c r="K78" s="68">
        <f t="shared" si="18"/>
        <v>0</v>
      </c>
      <c r="L78" s="69"/>
      <c r="M78" s="69"/>
      <c r="N78" s="69"/>
      <c r="O78" s="69"/>
      <c r="P78" s="69"/>
      <c r="Q78" s="69"/>
      <c r="R78" s="69"/>
      <c r="S78" s="69"/>
      <c r="T78" s="68">
        <f t="shared" si="19"/>
        <v>0</v>
      </c>
      <c r="U78" s="69"/>
      <c r="V78" s="69"/>
      <c r="W78" s="69"/>
      <c r="X78" s="69"/>
      <c r="Y78" s="69"/>
      <c r="Z78" s="69"/>
    </row>
    <row r="79" spans="1:26" ht="26" hidden="1">
      <c r="A79" s="67" t="s">
        <v>369</v>
      </c>
      <c r="B79" s="67">
        <v>224</v>
      </c>
      <c r="C79" s="67" t="s">
        <v>370</v>
      </c>
      <c r="D79" s="68">
        <f t="shared" si="16"/>
        <v>0</v>
      </c>
      <c r="E79" s="68">
        <f t="shared" si="17"/>
        <v>0</v>
      </c>
      <c r="F79" s="69"/>
      <c r="G79" s="69"/>
      <c r="H79" s="211"/>
      <c r="I79" s="69"/>
      <c r="J79" s="69"/>
      <c r="K79" s="68">
        <f t="shared" si="18"/>
        <v>0</v>
      </c>
      <c r="L79" s="69"/>
      <c r="M79" s="69"/>
      <c r="N79" s="69"/>
      <c r="O79" s="69"/>
      <c r="P79" s="69"/>
      <c r="Q79" s="69"/>
      <c r="R79" s="69"/>
      <c r="S79" s="69"/>
      <c r="T79" s="68">
        <f t="shared" si="19"/>
        <v>0</v>
      </c>
      <c r="U79" s="69"/>
      <c r="V79" s="69"/>
      <c r="W79" s="69"/>
      <c r="X79" s="69"/>
      <c r="Y79" s="69"/>
      <c r="Z79" s="69"/>
    </row>
    <row r="80" spans="1:26" ht="26">
      <c r="A80" s="67" t="s">
        <v>371</v>
      </c>
      <c r="B80" s="67">
        <v>230</v>
      </c>
      <c r="C80" s="67">
        <v>800</v>
      </c>
      <c r="D80" s="68">
        <f t="shared" si="16"/>
        <v>362636.4</v>
      </c>
      <c r="E80" s="68">
        <f t="shared" si="17"/>
        <v>362336.4</v>
      </c>
      <c r="F80" s="68">
        <f>F82+F85</f>
        <v>361536.4</v>
      </c>
      <c r="G80" s="68">
        <f>G82+G85</f>
        <v>0</v>
      </c>
      <c r="H80" s="210">
        <f>H82+H85</f>
        <v>800</v>
      </c>
      <c r="I80" s="68">
        <f>I82+I85</f>
        <v>0</v>
      </c>
      <c r="J80" s="68">
        <f>J82+J85</f>
        <v>0</v>
      </c>
      <c r="K80" s="68">
        <f t="shared" si="18"/>
        <v>300</v>
      </c>
      <c r="L80" s="68">
        <f t="shared" ref="L80:S80" si="20">L82+L85</f>
        <v>0</v>
      </c>
      <c r="M80" s="68">
        <f t="shared" si="20"/>
        <v>300</v>
      </c>
      <c r="N80" s="68">
        <f t="shared" si="20"/>
        <v>0</v>
      </c>
      <c r="O80" s="68">
        <f t="shared" si="20"/>
        <v>0</v>
      </c>
      <c r="P80" s="68">
        <f t="shared" si="20"/>
        <v>0</v>
      </c>
      <c r="Q80" s="68">
        <f t="shared" si="20"/>
        <v>0</v>
      </c>
      <c r="R80" s="68">
        <f t="shared" si="20"/>
        <v>0</v>
      </c>
      <c r="S80" s="68">
        <f t="shared" si="20"/>
        <v>0</v>
      </c>
      <c r="T80" s="68">
        <f t="shared" si="19"/>
        <v>0</v>
      </c>
      <c r="U80" s="68">
        <f t="shared" ref="U80:Z80" si="21">U82+U85</f>
        <v>0</v>
      </c>
      <c r="V80" s="68">
        <f t="shared" si="21"/>
        <v>0</v>
      </c>
      <c r="W80" s="68">
        <f t="shared" si="21"/>
        <v>0</v>
      </c>
      <c r="X80" s="68">
        <f t="shared" si="21"/>
        <v>0</v>
      </c>
      <c r="Y80" s="68">
        <f t="shared" si="21"/>
        <v>0</v>
      </c>
      <c r="Z80" s="68">
        <f t="shared" si="21"/>
        <v>0</v>
      </c>
    </row>
    <row r="81" spans="1:26" ht="12.75" customHeight="1">
      <c r="A81" s="67" t="s">
        <v>227</v>
      </c>
      <c r="B81" s="79"/>
      <c r="C81" s="79"/>
      <c r="D81" s="68"/>
      <c r="E81" s="68"/>
      <c r="F81" s="69"/>
      <c r="G81" s="69"/>
      <c r="H81" s="211"/>
      <c r="I81" s="69"/>
      <c r="J81" s="69"/>
      <c r="K81" s="68"/>
      <c r="L81" s="69"/>
      <c r="M81" s="69"/>
      <c r="N81" s="69"/>
      <c r="O81" s="69"/>
      <c r="P81" s="69"/>
      <c r="Q81" s="69"/>
      <c r="R81" s="69"/>
      <c r="S81" s="69"/>
      <c r="T81" s="68"/>
      <c r="U81" s="69"/>
      <c r="V81" s="69"/>
      <c r="W81" s="69"/>
      <c r="X81" s="69"/>
      <c r="Y81" s="69"/>
      <c r="Z81" s="69"/>
    </row>
    <row r="82" spans="1:26" ht="26" hidden="1">
      <c r="A82" s="67" t="s">
        <v>372</v>
      </c>
      <c r="B82" s="67">
        <v>231</v>
      </c>
      <c r="C82" s="67">
        <v>830</v>
      </c>
      <c r="D82" s="68">
        <f>E82+K82+S82+T82</f>
        <v>0</v>
      </c>
      <c r="E82" s="68">
        <f>SUM(F82:J82)</f>
        <v>0</v>
      </c>
      <c r="F82" s="68">
        <f>F84</f>
        <v>0</v>
      </c>
      <c r="G82" s="68">
        <f>G84</f>
        <v>0</v>
      </c>
      <c r="H82" s="210">
        <f>H84</f>
        <v>0</v>
      </c>
      <c r="I82" s="68">
        <f>I84</f>
        <v>0</v>
      </c>
      <c r="J82" s="68">
        <f>J84</f>
        <v>0</v>
      </c>
      <c r="K82" s="68">
        <f>SUM(L82:R82)</f>
        <v>0</v>
      </c>
      <c r="L82" s="68">
        <f t="shared" ref="L82:S82" si="22">L84</f>
        <v>0</v>
      </c>
      <c r="M82" s="68">
        <f t="shared" si="22"/>
        <v>0</v>
      </c>
      <c r="N82" s="68">
        <f t="shared" si="22"/>
        <v>0</v>
      </c>
      <c r="O82" s="68">
        <f t="shared" si="22"/>
        <v>0</v>
      </c>
      <c r="P82" s="68">
        <f t="shared" si="22"/>
        <v>0</v>
      </c>
      <c r="Q82" s="68">
        <f t="shared" si="22"/>
        <v>0</v>
      </c>
      <c r="R82" s="68">
        <f t="shared" si="22"/>
        <v>0</v>
      </c>
      <c r="S82" s="68">
        <f t="shared" si="22"/>
        <v>0</v>
      </c>
      <c r="T82" s="68">
        <f>SUM(U82:Z82)</f>
        <v>0</v>
      </c>
      <c r="U82" s="68">
        <f t="shared" ref="U82:Z82" si="23">U84</f>
        <v>0</v>
      </c>
      <c r="V82" s="68">
        <f t="shared" si="23"/>
        <v>0</v>
      </c>
      <c r="W82" s="68">
        <f t="shared" si="23"/>
        <v>0</v>
      </c>
      <c r="X82" s="68">
        <f t="shared" si="23"/>
        <v>0</v>
      </c>
      <c r="Y82" s="68">
        <f t="shared" si="23"/>
        <v>0</v>
      </c>
      <c r="Z82" s="68">
        <f t="shared" si="23"/>
        <v>0</v>
      </c>
    </row>
    <row r="83" spans="1:26" hidden="1">
      <c r="A83" s="67" t="s">
        <v>225</v>
      </c>
      <c r="B83" s="83"/>
      <c r="C83" s="83"/>
      <c r="D83" s="68"/>
      <c r="E83" s="84"/>
      <c r="F83" s="85"/>
      <c r="G83" s="85"/>
      <c r="H83" s="214"/>
      <c r="I83" s="85"/>
      <c r="J83" s="85"/>
      <c r="K83" s="84"/>
      <c r="L83" s="85"/>
      <c r="M83" s="85"/>
      <c r="N83" s="85"/>
      <c r="O83" s="85"/>
      <c r="P83" s="85"/>
      <c r="Q83" s="85"/>
      <c r="R83" s="85"/>
      <c r="S83" s="85"/>
      <c r="T83" s="84"/>
      <c r="U83" s="85"/>
      <c r="V83" s="85"/>
      <c r="W83" s="85"/>
      <c r="X83" s="85"/>
      <c r="Y83" s="85"/>
      <c r="Z83" s="85"/>
    </row>
    <row r="84" spans="1:26" ht="65" hidden="1">
      <c r="A84" s="67" t="s">
        <v>373</v>
      </c>
      <c r="B84" s="67">
        <v>231.1</v>
      </c>
      <c r="C84" s="67" t="s">
        <v>374</v>
      </c>
      <c r="D84" s="68">
        <f>E84+K84+S84+T84</f>
        <v>0</v>
      </c>
      <c r="E84" s="68">
        <f>SUM(F84:J84)</f>
        <v>0</v>
      </c>
      <c r="F84" s="69"/>
      <c r="G84" s="69"/>
      <c r="H84" s="211"/>
      <c r="I84" s="69"/>
      <c r="J84" s="69"/>
      <c r="K84" s="68">
        <f>SUM(L84:R84)</f>
        <v>0</v>
      </c>
      <c r="L84" s="69"/>
      <c r="M84" s="69"/>
      <c r="N84" s="69"/>
      <c r="O84" s="69"/>
      <c r="P84" s="69"/>
      <c r="Q84" s="69"/>
      <c r="R84" s="69"/>
      <c r="S84" s="69"/>
      <c r="T84" s="68">
        <f>SUM(U84:Z84)</f>
        <v>0</v>
      </c>
      <c r="U84" s="69"/>
      <c r="V84" s="69"/>
      <c r="W84" s="69"/>
      <c r="X84" s="69"/>
      <c r="Y84" s="69"/>
      <c r="Z84" s="69"/>
    </row>
    <row r="85" spans="1:26" ht="26">
      <c r="A85" s="67" t="s">
        <v>375</v>
      </c>
      <c r="B85" s="67">
        <v>232</v>
      </c>
      <c r="C85" s="67">
        <v>850</v>
      </c>
      <c r="D85" s="68">
        <f>E85+K85+S85+T85</f>
        <v>362636.4</v>
      </c>
      <c r="E85" s="68">
        <f>SUM(F85:J85)</f>
        <v>362336.4</v>
      </c>
      <c r="F85" s="68">
        <f>SUM(F87:F90)</f>
        <v>361536.4</v>
      </c>
      <c r="G85" s="68">
        <f>SUM(G87:G90)</f>
        <v>0</v>
      </c>
      <c r="H85" s="210">
        <f>SUM(H87:H90)</f>
        <v>800</v>
      </c>
      <c r="I85" s="68">
        <f>SUM(I87:I90)</f>
        <v>0</v>
      </c>
      <c r="J85" s="68">
        <f>SUM(J87:J90)</f>
        <v>0</v>
      </c>
      <c r="K85" s="68">
        <f>SUM(L85:R85)</f>
        <v>300</v>
      </c>
      <c r="L85" s="68">
        <f t="shared" ref="L85:S85" si="24">SUM(L87:L90)</f>
        <v>0</v>
      </c>
      <c r="M85" s="68">
        <f t="shared" si="24"/>
        <v>300</v>
      </c>
      <c r="N85" s="68">
        <f t="shared" si="24"/>
        <v>0</v>
      </c>
      <c r="O85" s="68">
        <f t="shared" si="24"/>
        <v>0</v>
      </c>
      <c r="P85" s="68">
        <f t="shared" si="24"/>
        <v>0</v>
      </c>
      <c r="Q85" s="68">
        <f t="shared" si="24"/>
        <v>0</v>
      </c>
      <c r="R85" s="68">
        <f t="shared" si="24"/>
        <v>0</v>
      </c>
      <c r="S85" s="68">
        <f t="shared" si="24"/>
        <v>0</v>
      </c>
      <c r="T85" s="68">
        <f>SUM(U85:Z85)</f>
        <v>0</v>
      </c>
      <c r="U85" s="68">
        <f t="shared" ref="U85:Z85" si="25">SUM(U87:U90)</f>
        <v>0</v>
      </c>
      <c r="V85" s="68">
        <f t="shared" si="25"/>
        <v>0</v>
      </c>
      <c r="W85" s="68">
        <f t="shared" si="25"/>
        <v>0</v>
      </c>
      <c r="X85" s="68">
        <f t="shared" si="25"/>
        <v>0</v>
      </c>
      <c r="Y85" s="68">
        <f t="shared" si="25"/>
        <v>0</v>
      </c>
      <c r="Z85" s="68">
        <f t="shared" si="25"/>
        <v>0</v>
      </c>
    </row>
    <row r="86" spans="1:26" ht="12.75" customHeight="1">
      <c r="A86" s="67" t="s">
        <v>225</v>
      </c>
      <c r="B86" s="79"/>
      <c r="C86" s="79"/>
      <c r="D86" s="68"/>
      <c r="E86" s="68"/>
      <c r="F86" s="69"/>
      <c r="G86" s="69"/>
      <c r="H86" s="211"/>
      <c r="I86" s="69"/>
      <c r="J86" s="69"/>
      <c r="K86" s="68"/>
      <c r="L86" s="69"/>
      <c r="M86" s="69"/>
      <c r="N86" s="69"/>
      <c r="O86" s="69"/>
      <c r="P86" s="69"/>
      <c r="Q86" s="69"/>
      <c r="R86" s="69"/>
      <c r="S86" s="69"/>
      <c r="T86" s="68"/>
      <c r="U86" s="69"/>
      <c r="V86" s="69"/>
      <c r="W86" s="69"/>
      <c r="X86" s="69"/>
      <c r="Y86" s="69"/>
      <c r="Z86" s="69"/>
    </row>
    <row r="87" spans="1:26" ht="39">
      <c r="A87" s="67" t="s">
        <v>376</v>
      </c>
      <c r="B87" s="67">
        <v>232.1</v>
      </c>
      <c r="C87" s="67" t="s">
        <v>377</v>
      </c>
      <c r="D87" s="68">
        <f>E87+K87+S87+T87</f>
        <v>300</v>
      </c>
      <c r="E87" s="68">
        <f>SUM(F87:J87)</f>
        <v>0</v>
      </c>
      <c r="F87" s="69"/>
      <c r="G87" s="69"/>
      <c r="H87" s="211"/>
      <c r="I87" s="69"/>
      <c r="J87" s="69"/>
      <c r="K87" s="68">
        <f>SUM(L87:R87)</f>
        <v>300</v>
      </c>
      <c r="L87" s="69"/>
      <c r="M87" s="69">
        <f>1300-1000</f>
        <v>300</v>
      </c>
      <c r="N87" s="69"/>
      <c r="O87" s="69"/>
      <c r="P87" s="69"/>
      <c r="Q87" s="69"/>
      <c r="R87" s="69"/>
      <c r="S87" s="69"/>
      <c r="T87" s="68">
        <f>SUM(U87:Z87)</f>
        <v>0</v>
      </c>
      <c r="U87" s="69"/>
      <c r="V87" s="69"/>
      <c r="W87" s="69"/>
      <c r="X87" s="69"/>
      <c r="Y87" s="69"/>
      <c r="Z87" s="69"/>
    </row>
    <row r="88" spans="1:26" ht="26">
      <c r="A88" s="67" t="s">
        <v>378</v>
      </c>
      <c r="B88" s="67">
        <v>232.2</v>
      </c>
      <c r="C88" s="67" t="s">
        <v>379</v>
      </c>
      <c r="D88" s="68">
        <f>E88+K88+S88+T88</f>
        <v>800</v>
      </c>
      <c r="E88" s="68">
        <f>SUM(F88:J88)</f>
        <v>800</v>
      </c>
      <c r="F88" s="69"/>
      <c r="G88" s="69"/>
      <c r="H88" s="211">
        <v>800</v>
      </c>
      <c r="I88" s="69"/>
      <c r="J88" s="69"/>
      <c r="K88" s="68">
        <f>SUM(L88:R88)</f>
        <v>0</v>
      </c>
      <c r="L88" s="69"/>
      <c r="M88" s="69"/>
      <c r="N88" s="69"/>
      <c r="O88" s="69"/>
      <c r="P88" s="69"/>
      <c r="Q88" s="69"/>
      <c r="R88" s="69"/>
      <c r="S88" s="69"/>
      <c r="T88" s="68">
        <f>SUM(U88:Z88)</f>
        <v>0</v>
      </c>
      <c r="U88" s="69"/>
      <c r="V88" s="69"/>
      <c r="W88" s="69"/>
      <c r="X88" s="69"/>
      <c r="Y88" s="69"/>
      <c r="Z88" s="69"/>
    </row>
    <row r="89" spans="1:26" ht="52">
      <c r="A89" s="67" t="s">
        <v>380</v>
      </c>
      <c r="B89" s="67">
        <v>232.3</v>
      </c>
      <c r="C89" s="67" t="s">
        <v>381</v>
      </c>
      <c r="D89" s="68">
        <f>E89+K89+S89+T89</f>
        <v>361536.4</v>
      </c>
      <c r="E89" s="68">
        <f>SUM(F89:J89)</f>
        <v>361536.4</v>
      </c>
      <c r="F89" s="69">
        <v>361536.4</v>
      </c>
      <c r="G89" s="69"/>
      <c r="H89" s="211"/>
      <c r="I89" s="69"/>
      <c r="J89" s="69"/>
      <c r="K89" s="68">
        <f>SUM(L89:R89)</f>
        <v>0</v>
      </c>
      <c r="L89" s="69"/>
      <c r="M89" s="69"/>
      <c r="N89" s="69"/>
      <c r="O89" s="69"/>
      <c r="P89" s="69"/>
      <c r="Q89" s="69"/>
      <c r="R89" s="69"/>
      <c r="S89" s="69"/>
      <c r="T89" s="68">
        <f>SUM(U89:Z89)</f>
        <v>0</v>
      </c>
      <c r="U89" s="69"/>
      <c r="V89" s="69"/>
      <c r="W89" s="69"/>
      <c r="X89" s="69"/>
      <c r="Y89" s="69"/>
      <c r="Z89" s="69">
        <f>655.8-655.8</f>
        <v>0</v>
      </c>
    </row>
    <row r="90" spans="1:26" ht="26" hidden="1">
      <c r="A90" s="67" t="s">
        <v>382</v>
      </c>
      <c r="B90" s="67">
        <v>232.4</v>
      </c>
      <c r="C90" s="67" t="s">
        <v>383</v>
      </c>
      <c r="D90" s="68">
        <f>E90+K90+S90+T90</f>
        <v>0</v>
      </c>
      <c r="E90" s="68">
        <f>SUM(F90:J90)</f>
        <v>0</v>
      </c>
      <c r="F90" s="69"/>
      <c r="G90" s="69"/>
      <c r="H90" s="211"/>
      <c r="I90" s="69"/>
      <c r="J90" s="69"/>
      <c r="K90" s="68">
        <f>SUM(L90:R90)</f>
        <v>0</v>
      </c>
      <c r="L90" s="69"/>
      <c r="M90" s="69"/>
      <c r="N90" s="69"/>
      <c r="O90" s="69"/>
      <c r="P90" s="69"/>
      <c r="Q90" s="69"/>
      <c r="R90" s="69"/>
      <c r="S90" s="69"/>
      <c r="T90" s="68">
        <f>SUM(U90:Z90)</f>
        <v>0</v>
      </c>
      <c r="U90" s="69"/>
      <c r="V90" s="69"/>
      <c r="W90" s="69"/>
      <c r="X90" s="69"/>
      <c r="Y90" s="69"/>
      <c r="Z90" s="69"/>
    </row>
    <row r="91" spans="1:26" hidden="1">
      <c r="A91" s="67"/>
      <c r="B91" s="67"/>
      <c r="C91" s="67"/>
      <c r="D91" s="68"/>
      <c r="E91" s="68"/>
      <c r="F91" s="69"/>
      <c r="G91" s="69"/>
      <c r="H91" s="211"/>
      <c r="I91" s="69"/>
      <c r="J91" s="69"/>
      <c r="K91" s="68"/>
      <c r="L91" s="69"/>
      <c r="M91" s="69"/>
      <c r="N91" s="69"/>
      <c r="O91" s="69"/>
      <c r="P91" s="69"/>
      <c r="Q91" s="69"/>
      <c r="R91" s="69"/>
      <c r="S91" s="69"/>
      <c r="T91" s="68"/>
      <c r="U91" s="69"/>
      <c r="V91" s="69"/>
      <c r="W91" s="69"/>
      <c r="X91" s="69"/>
      <c r="Y91" s="69"/>
      <c r="Z91" s="69"/>
    </row>
    <row r="92" spans="1:26" ht="26" hidden="1">
      <c r="A92" s="67" t="s">
        <v>384</v>
      </c>
      <c r="B92" s="67">
        <v>240</v>
      </c>
      <c r="C92" s="67"/>
      <c r="D92" s="68">
        <f>E92+K92+S92+T92</f>
        <v>0</v>
      </c>
      <c r="E92" s="68"/>
      <c r="F92" s="69"/>
      <c r="G92" s="69"/>
      <c r="H92" s="211"/>
      <c r="I92" s="69"/>
      <c r="J92" s="69"/>
      <c r="K92" s="68"/>
      <c r="L92" s="69"/>
      <c r="M92" s="69"/>
      <c r="N92" s="69"/>
      <c r="O92" s="69"/>
      <c r="P92" s="69"/>
      <c r="Q92" s="69"/>
      <c r="R92" s="69"/>
      <c r="S92" s="69"/>
      <c r="T92" s="68">
        <f>SUM(U92:Z92)</f>
        <v>0</v>
      </c>
      <c r="U92" s="69"/>
      <c r="V92" s="69"/>
      <c r="W92" s="69"/>
      <c r="X92" s="69"/>
      <c r="Y92" s="69"/>
      <c r="Z92" s="69"/>
    </row>
    <row r="93" spans="1:26" hidden="1">
      <c r="A93" s="67"/>
      <c r="B93" s="67"/>
      <c r="C93" s="67"/>
      <c r="D93" s="68"/>
      <c r="E93" s="68"/>
      <c r="F93" s="69"/>
      <c r="G93" s="69"/>
      <c r="H93" s="211"/>
      <c r="I93" s="69"/>
      <c r="J93" s="69"/>
      <c r="K93" s="68"/>
      <c r="L93" s="69"/>
      <c r="M93" s="69"/>
      <c r="N93" s="69"/>
      <c r="O93" s="69"/>
      <c r="P93" s="69"/>
      <c r="Q93" s="69"/>
      <c r="R93" s="69"/>
      <c r="S93" s="69"/>
      <c r="T93" s="68"/>
      <c r="U93" s="69"/>
      <c r="V93" s="69"/>
      <c r="W93" s="69"/>
      <c r="X93" s="69"/>
      <c r="Y93" s="69"/>
      <c r="Z93" s="69"/>
    </row>
    <row r="94" spans="1:26" ht="26" hidden="1">
      <c r="A94" s="67" t="s">
        <v>385</v>
      </c>
      <c r="B94" s="67">
        <v>250</v>
      </c>
      <c r="C94" s="67"/>
      <c r="D94" s="68">
        <f>E94+K94+S94+T94</f>
        <v>0</v>
      </c>
      <c r="E94" s="68">
        <f>SUM(F94:J94)</f>
        <v>0</v>
      </c>
      <c r="F94" s="69"/>
      <c r="G94" s="69"/>
      <c r="H94" s="211"/>
      <c r="I94" s="69"/>
      <c r="J94" s="69"/>
      <c r="K94" s="68">
        <f>SUM(L94:R94)</f>
        <v>0</v>
      </c>
      <c r="L94" s="69"/>
      <c r="M94" s="69"/>
      <c r="N94" s="69"/>
      <c r="O94" s="69"/>
      <c r="P94" s="69"/>
      <c r="Q94" s="69"/>
      <c r="R94" s="69"/>
      <c r="S94" s="69"/>
      <c r="T94" s="68">
        <f>SUM(U94:Z94)</f>
        <v>0</v>
      </c>
      <c r="U94" s="69"/>
      <c r="V94" s="69"/>
      <c r="W94" s="69"/>
      <c r="X94" s="69"/>
      <c r="Y94" s="69"/>
      <c r="Z94" s="69"/>
    </row>
    <row r="95" spans="1:26" ht="0.75" customHeight="1">
      <c r="A95" s="67"/>
      <c r="B95" s="67"/>
      <c r="C95" s="67"/>
      <c r="D95" s="68"/>
      <c r="E95" s="68"/>
      <c r="F95" s="69"/>
      <c r="G95" s="69"/>
      <c r="H95" s="211"/>
      <c r="I95" s="69"/>
      <c r="J95" s="69"/>
      <c r="K95" s="68"/>
      <c r="L95" s="69"/>
      <c r="M95" s="69"/>
      <c r="N95" s="69"/>
      <c r="O95" s="69"/>
      <c r="P95" s="69"/>
      <c r="Q95" s="69"/>
      <c r="R95" s="69"/>
      <c r="S95" s="69"/>
      <c r="T95" s="68"/>
      <c r="U95" s="69"/>
      <c r="V95" s="69"/>
      <c r="W95" s="69"/>
      <c r="X95" s="69"/>
      <c r="Y95" s="69"/>
      <c r="Z95" s="69"/>
    </row>
    <row r="96" spans="1:26" ht="24.75" customHeight="1">
      <c r="A96" s="67" t="s">
        <v>386</v>
      </c>
      <c r="B96" s="67">
        <v>260</v>
      </c>
      <c r="C96" s="67">
        <v>200</v>
      </c>
      <c r="D96" s="68">
        <f>E96+K96+S96+T96</f>
        <v>2688727.1199999996</v>
      </c>
      <c r="E96" s="68">
        <f>SUM(F96:J96)</f>
        <v>1902621.3199999998</v>
      </c>
      <c r="F96" s="68">
        <f>F98</f>
        <v>334421.31999999995</v>
      </c>
      <c r="G96" s="68">
        <f>G98</f>
        <v>0</v>
      </c>
      <c r="H96" s="210">
        <f>H98</f>
        <v>1378800</v>
      </c>
      <c r="I96" s="68">
        <f>I98</f>
        <v>0</v>
      </c>
      <c r="J96" s="68">
        <f>J98</f>
        <v>189400</v>
      </c>
      <c r="K96" s="68">
        <f>SUM(L96:R96)</f>
        <v>750450</v>
      </c>
      <c r="L96" s="68">
        <f t="shared" ref="L96:S96" si="26">L98</f>
        <v>0</v>
      </c>
      <c r="M96" s="68">
        <f t="shared" si="26"/>
        <v>0</v>
      </c>
      <c r="N96" s="68">
        <f t="shared" si="26"/>
        <v>0</v>
      </c>
      <c r="O96" s="68">
        <f t="shared" si="26"/>
        <v>0</v>
      </c>
      <c r="P96" s="68">
        <f t="shared" si="26"/>
        <v>0</v>
      </c>
      <c r="Q96" s="68">
        <f t="shared" si="26"/>
        <v>750450</v>
      </c>
      <c r="R96" s="68">
        <f t="shared" si="26"/>
        <v>0</v>
      </c>
      <c r="S96" s="68">
        <f t="shared" si="26"/>
        <v>0</v>
      </c>
      <c r="T96" s="68">
        <f>SUM(U96:Z96)</f>
        <v>35655.800000000003</v>
      </c>
      <c r="U96" s="68">
        <f t="shared" ref="U96:Z96" si="27">U98</f>
        <v>0</v>
      </c>
      <c r="V96" s="68">
        <f t="shared" si="27"/>
        <v>0</v>
      </c>
      <c r="W96" s="68">
        <f t="shared" si="27"/>
        <v>0</v>
      </c>
      <c r="X96" s="68">
        <f t="shared" si="27"/>
        <v>0</v>
      </c>
      <c r="Y96" s="68">
        <f t="shared" si="27"/>
        <v>35000</v>
      </c>
      <c r="Z96" s="68">
        <f t="shared" si="27"/>
        <v>655.8</v>
      </c>
    </row>
    <row r="97" spans="1:26">
      <c r="A97" s="67" t="s">
        <v>227</v>
      </c>
      <c r="B97" s="67"/>
      <c r="C97" s="67"/>
      <c r="D97" s="68">
        <f>E97+K97+S97+T97</f>
        <v>0</v>
      </c>
      <c r="E97" s="68"/>
      <c r="F97" s="69"/>
      <c r="G97" s="69"/>
      <c r="H97" s="211"/>
      <c r="I97" s="69"/>
      <c r="J97" s="69"/>
      <c r="K97" s="68"/>
      <c r="L97" s="69"/>
      <c r="M97" s="69"/>
      <c r="N97" s="69"/>
      <c r="O97" s="69"/>
      <c r="P97" s="69"/>
      <c r="Q97" s="69"/>
      <c r="R97" s="69"/>
      <c r="S97" s="69"/>
      <c r="T97" s="68"/>
      <c r="U97" s="69"/>
      <c r="V97" s="69"/>
      <c r="W97" s="69"/>
      <c r="X97" s="69"/>
      <c r="Y97" s="69"/>
      <c r="Z97" s="69"/>
    </row>
    <row r="98" spans="1:26" ht="26">
      <c r="A98" s="67" t="s">
        <v>387</v>
      </c>
      <c r="B98" s="67">
        <v>261</v>
      </c>
      <c r="C98" s="67">
        <v>240</v>
      </c>
      <c r="D98" s="68">
        <f>E98+K98+S98+T98</f>
        <v>2688727.1199999996</v>
      </c>
      <c r="E98" s="68">
        <f>SUM(F98:J98)</f>
        <v>1902621.3199999998</v>
      </c>
      <c r="F98" s="68">
        <f>SUM(F100:F135)</f>
        <v>334421.31999999995</v>
      </c>
      <c r="G98" s="68">
        <f>SUM(G100:G135)</f>
        <v>0</v>
      </c>
      <c r="H98" s="210">
        <f>SUM(H100:H135)</f>
        <v>1378800</v>
      </c>
      <c r="I98" s="68">
        <f>SUM(I100:I135)</f>
        <v>0</v>
      </c>
      <c r="J98" s="68">
        <f>SUM(J100:J135)</f>
        <v>189400</v>
      </c>
      <c r="K98" s="68">
        <f>SUM(L98:R98)</f>
        <v>750450</v>
      </c>
      <c r="L98" s="68">
        <f t="shared" ref="L98:S98" si="28">SUM(L100:L135)</f>
        <v>0</v>
      </c>
      <c r="M98" s="68">
        <f t="shared" si="28"/>
        <v>0</v>
      </c>
      <c r="N98" s="68">
        <f t="shared" si="28"/>
        <v>0</v>
      </c>
      <c r="O98" s="68">
        <f t="shared" si="28"/>
        <v>0</v>
      </c>
      <c r="P98" s="68">
        <f t="shared" si="28"/>
        <v>0</v>
      </c>
      <c r="Q98" s="68">
        <f t="shared" si="28"/>
        <v>750450</v>
      </c>
      <c r="R98" s="68">
        <f t="shared" si="28"/>
        <v>0</v>
      </c>
      <c r="S98" s="68">
        <f t="shared" si="28"/>
        <v>0</v>
      </c>
      <c r="T98" s="68">
        <f>SUM(U98:Z98)</f>
        <v>35655.800000000003</v>
      </c>
      <c r="U98" s="68">
        <f t="shared" ref="U98:Z98" si="29">SUM(U100:U135)</f>
        <v>0</v>
      </c>
      <c r="V98" s="68">
        <f t="shared" si="29"/>
        <v>0</v>
      </c>
      <c r="W98" s="68">
        <f t="shared" si="29"/>
        <v>0</v>
      </c>
      <c r="X98" s="68">
        <f t="shared" si="29"/>
        <v>0</v>
      </c>
      <c r="Y98" s="68">
        <f t="shared" si="29"/>
        <v>35000</v>
      </c>
      <c r="Z98" s="68">
        <f t="shared" si="29"/>
        <v>655.8</v>
      </c>
    </row>
    <row r="99" spans="1:26">
      <c r="A99" s="67" t="s">
        <v>225</v>
      </c>
      <c r="B99" s="67"/>
      <c r="C99" s="67"/>
      <c r="D99" s="68"/>
      <c r="E99" s="68"/>
      <c r="F99" s="69"/>
      <c r="G99" s="69"/>
      <c r="H99" s="211"/>
      <c r="I99" s="69"/>
      <c r="J99" s="69"/>
      <c r="K99" s="68"/>
      <c r="L99" s="69"/>
      <c r="M99" s="69"/>
      <c r="N99" s="69"/>
      <c r="O99" s="69"/>
      <c r="P99" s="69"/>
      <c r="Q99" s="69"/>
      <c r="R99" s="69"/>
      <c r="S99" s="69"/>
      <c r="T99" s="68"/>
      <c r="U99" s="69"/>
      <c r="V99" s="69"/>
      <c r="W99" s="69"/>
      <c r="X99" s="69"/>
      <c r="Y99" s="69"/>
      <c r="Z99" s="69"/>
    </row>
    <row r="100" spans="1:26" ht="26" hidden="1">
      <c r="A100" s="67" t="s">
        <v>388</v>
      </c>
      <c r="B100" s="67">
        <v>261.10000000000002</v>
      </c>
      <c r="C100" s="67" t="s">
        <v>389</v>
      </c>
      <c r="D100" s="68">
        <f t="shared" ref="D100:D135" si="30">E100+K100+S100+T100</f>
        <v>0</v>
      </c>
      <c r="E100" s="68">
        <f t="shared" ref="E100:E135" si="31">SUM(F100:J100)</f>
        <v>0</v>
      </c>
      <c r="F100" s="69"/>
      <c r="G100" s="69"/>
      <c r="H100" s="211"/>
      <c r="I100" s="69"/>
      <c r="J100" s="69"/>
      <c r="K100" s="68">
        <f t="shared" ref="K100:K135" si="32">SUM(L100:R100)</f>
        <v>0</v>
      </c>
      <c r="L100" s="69"/>
      <c r="M100" s="69"/>
      <c r="N100" s="69"/>
      <c r="O100" s="69"/>
      <c r="P100" s="69"/>
      <c r="Q100" s="69"/>
      <c r="R100" s="69"/>
      <c r="S100" s="69"/>
      <c r="T100" s="68">
        <f>SUM(U100:Z100)</f>
        <v>0</v>
      </c>
      <c r="U100" s="69"/>
      <c r="V100" s="69"/>
      <c r="W100" s="69"/>
      <c r="X100" s="69"/>
      <c r="Y100" s="69"/>
      <c r="Z100" s="69"/>
    </row>
    <row r="101" spans="1:26" ht="26" hidden="1">
      <c r="A101" s="67" t="s">
        <v>390</v>
      </c>
      <c r="B101" s="67">
        <v>261.2</v>
      </c>
      <c r="C101" s="67" t="s">
        <v>391</v>
      </c>
      <c r="D101" s="68">
        <f t="shared" si="30"/>
        <v>0</v>
      </c>
      <c r="E101" s="68">
        <f t="shared" si="31"/>
        <v>0</v>
      </c>
      <c r="F101" s="69"/>
      <c r="G101" s="69"/>
      <c r="H101" s="211"/>
      <c r="I101" s="69"/>
      <c r="J101" s="69"/>
      <c r="K101" s="68">
        <f t="shared" si="32"/>
        <v>0</v>
      </c>
      <c r="L101" s="69"/>
      <c r="M101" s="69"/>
      <c r="N101" s="69"/>
      <c r="O101" s="69"/>
      <c r="P101" s="69"/>
      <c r="Q101" s="69"/>
      <c r="R101" s="69"/>
      <c r="S101" s="69"/>
      <c r="T101" s="68">
        <f>SUM(U101:Z101)</f>
        <v>0</v>
      </c>
      <c r="U101" s="69"/>
      <c r="V101" s="69"/>
      <c r="W101" s="69"/>
      <c r="X101" s="69"/>
      <c r="Y101" s="69"/>
      <c r="Z101" s="69"/>
    </row>
    <row r="102" spans="1:26" ht="78" hidden="1">
      <c r="A102" s="67" t="s">
        <v>392</v>
      </c>
      <c r="B102" s="67">
        <v>261.3</v>
      </c>
      <c r="C102" s="67" t="s">
        <v>393</v>
      </c>
      <c r="D102" s="68">
        <f t="shared" si="30"/>
        <v>0</v>
      </c>
      <c r="E102" s="68">
        <f t="shared" si="31"/>
        <v>0</v>
      </c>
      <c r="F102" s="69"/>
      <c r="G102" s="69"/>
      <c r="H102" s="211"/>
      <c r="I102" s="69"/>
      <c r="J102" s="69"/>
      <c r="K102" s="68">
        <f t="shared" si="32"/>
        <v>0</v>
      </c>
      <c r="L102" s="69"/>
      <c r="M102" s="69"/>
      <c r="N102" s="69"/>
      <c r="O102" s="69"/>
      <c r="P102" s="69"/>
      <c r="Q102" s="69"/>
      <c r="R102" s="69"/>
      <c r="S102" s="69"/>
      <c r="T102" s="68">
        <f t="shared" ref="T102:T135" si="33">SUM(U102:Z102)</f>
        <v>0</v>
      </c>
      <c r="U102" s="69"/>
      <c r="V102" s="69"/>
      <c r="W102" s="69"/>
      <c r="X102" s="69"/>
      <c r="Y102" s="69"/>
      <c r="Z102" s="69"/>
    </row>
    <row r="103" spans="1:26" ht="26" hidden="1">
      <c r="A103" s="67" t="s">
        <v>394</v>
      </c>
      <c r="B103" s="67">
        <v>261.39999999999998</v>
      </c>
      <c r="C103" s="67" t="s">
        <v>395</v>
      </c>
      <c r="D103" s="68">
        <f t="shared" si="30"/>
        <v>0</v>
      </c>
      <c r="E103" s="68">
        <f t="shared" si="31"/>
        <v>0</v>
      </c>
      <c r="F103" s="69"/>
      <c r="G103" s="69"/>
      <c r="H103" s="211"/>
      <c r="I103" s="69"/>
      <c r="J103" s="69"/>
      <c r="K103" s="68">
        <f t="shared" si="32"/>
        <v>0</v>
      </c>
      <c r="L103" s="69"/>
      <c r="M103" s="69"/>
      <c r="N103" s="69"/>
      <c r="O103" s="69"/>
      <c r="P103" s="69"/>
      <c r="Q103" s="69"/>
      <c r="R103" s="69"/>
      <c r="S103" s="69"/>
      <c r="T103" s="68">
        <f t="shared" si="33"/>
        <v>0</v>
      </c>
      <c r="U103" s="69"/>
      <c r="V103" s="69"/>
      <c r="W103" s="69"/>
      <c r="X103" s="69"/>
      <c r="Y103" s="69"/>
      <c r="Z103" s="69"/>
    </row>
    <row r="104" spans="1:26" ht="26">
      <c r="A104" s="67" t="s">
        <v>396</v>
      </c>
      <c r="B104" s="67">
        <v>261.5</v>
      </c>
      <c r="C104" s="67" t="s">
        <v>627</v>
      </c>
      <c r="D104" s="68">
        <f t="shared" si="30"/>
        <v>18400</v>
      </c>
      <c r="E104" s="68">
        <f t="shared" si="31"/>
        <v>18400</v>
      </c>
      <c r="F104" s="69"/>
      <c r="G104" s="69"/>
      <c r="H104" s="211">
        <v>18400</v>
      </c>
      <c r="I104" s="69"/>
      <c r="J104" s="69"/>
      <c r="K104" s="68">
        <f t="shared" si="32"/>
        <v>0</v>
      </c>
      <c r="L104" s="69"/>
      <c r="M104" s="69"/>
      <c r="N104" s="69"/>
      <c r="O104" s="69"/>
      <c r="P104" s="69"/>
      <c r="Q104" s="69"/>
      <c r="R104" s="69"/>
      <c r="S104" s="69"/>
      <c r="T104" s="68">
        <f t="shared" si="33"/>
        <v>0</v>
      </c>
      <c r="U104" s="69"/>
      <c r="V104" s="69"/>
      <c r="W104" s="69"/>
      <c r="X104" s="69"/>
      <c r="Y104" s="69"/>
      <c r="Z104" s="69"/>
    </row>
    <row r="105" spans="1:26" ht="26">
      <c r="A105" s="67" t="s">
        <v>397</v>
      </c>
      <c r="B105" s="67">
        <v>261.60000000000002</v>
      </c>
      <c r="C105" s="67" t="s">
        <v>686</v>
      </c>
      <c r="D105" s="68">
        <f t="shared" si="30"/>
        <v>48000</v>
      </c>
      <c r="E105" s="68">
        <f t="shared" si="31"/>
        <v>48000</v>
      </c>
      <c r="F105" s="69"/>
      <c r="G105" s="69"/>
      <c r="H105" s="211">
        <v>48000</v>
      </c>
      <c r="I105" s="69"/>
      <c r="J105" s="69"/>
      <c r="K105" s="68">
        <f t="shared" si="32"/>
        <v>0</v>
      </c>
      <c r="L105" s="69"/>
      <c r="M105" s="69"/>
      <c r="N105" s="69"/>
      <c r="O105" s="69"/>
      <c r="P105" s="69"/>
      <c r="Q105" s="69"/>
      <c r="R105" s="69"/>
      <c r="S105" s="69"/>
      <c r="T105" s="68">
        <f t="shared" si="33"/>
        <v>0</v>
      </c>
      <c r="U105" s="69"/>
      <c r="V105" s="69"/>
      <c r="W105" s="69"/>
      <c r="X105" s="69"/>
      <c r="Y105" s="69"/>
      <c r="Z105" s="69"/>
    </row>
    <row r="106" spans="1:26" ht="26">
      <c r="A106" s="67" t="s">
        <v>352</v>
      </c>
      <c r="B106" s="67">
        <v>261.7</v>
      </c>
      <c r="C106" s="67" t="s">
        <v>628</v>
      </c>
      <c r="D106" s="68">
        <f t="shared" si="30"/>
        <v>750450</v>
      </c>
      <c r="E106" s="68">
        <f t="shared" si="31"/>
        <v>0</v>
      </c>
      <c r="F106" s="69"/>
      <c r="G106" s="69"/>
      <c r="H106" s="211"/>
      <c r="I106" s="69"/>
      <c r="J106" s="69"/>
      <c r="K106" s="68">
        <f t="shared" si="32"/>
        <v>750450</v>
      </c>
      <c r="L106" s="69"/>
      <c r="M106" s="69"/>
      <c r="N106" s="69"/>
      <c r="O106" s="69"/>
      <c r="P106" s="69"/>
      <c r="Q106" s="69">
        <f>752000-1550</f>
        <v>750450</v>
      </c>
      <c r="R106" s="69"/>
      <c r="S106" s="69"/>
      <c r="T106" s="68">
        <f t="shared" si="33"/>
        <v>0</v>
      </c>
      <c r="U106" s="69"/>
      <c r="V106" s="69"/>
      <c r="W106" s="69"/>
      <c r="X106" s="69"/>
      <c r="Y106" s="69"/>
      <c r="Z106" s="69"/>
    </row>
    <row r="107" spans="1:26" ht="26">
      <c r="A107" s="67" t="s">
        <v>398</v>
      </c>
      <c r="B107" s="67">
        <v>261.8</v>
      </c>
      <c r="C107" s="67" t="s">
        <v>629</v>
      </c>
      <c r="D107" s="68">
        <f t="shared" si="30"/>
        <v>543718.36</v>
      </c>
      <c r="E107" s="68">
        <f t="shared" si="31"/>
        <v>543718.36</v>
      </c>
      <c r="F107" s="69"/>
      <c r="G107" s="69"/>
      <c r="H107" s="211">
        <f>443800+99918.36</f>
        <v>543718.36</v>
      </c>
      <c r="I107" s="69"/>
      <c r="J107" s="69"/>
      <c r="K107" s="68">
        <f t="shared" si="32"/>
        <v>0</v>
      </c>
      <c r="L107" s="69"/>
      <c r="M107" s="69"/>
      <c r="N107" s="69"/>
      <c r="O107" s="69"/>
      <c r="P107" s="69"/>
      <c r="Q107" s="69"/>
      <c r="R107" s="69"/>
      <c r="S107" s="69"/>
      <c r="T107" s="68">
        <f t="shared" si="33"/>
        <v>0</v>
      </c>
      <c r="U107" s="69"/>
      <c r="V107" s="69"/>
      <c r="W107" s="69"/>
      <c r="X107" s="69"/>
      <c r="Y107" s="69"/>
      <c r="Z107" s="69"/>
    </row>
    <row r="108" spans="1:26" ht="26">
      <c r="A108" s="67" t="s">
        <v>399</v>
      </c>
      <c r="B108" s="67">
        <v>261.89999999999998</v>
      </c>
      <c r="C108" s="67" t="s">
        <v>630</v>
      </c>
      <c r="D108" s="68">
        <f t="shared" si="30"/>
        <v>106081.64</v>
      </c>
      <c r="E108" s="68">
        <f t="shared" si="31"/>
        <v>106081.64</v>
      </c>
      <c r="F108" s="69"/>
      <c r="G108" s="69"/>
      <c r="H108" s="211">
        <f>206000-99918.36</f>
        <v>106081.64</v>
      </c>
      <c r="I108" s="69"/>
      <c r="J108" s="69"/>
      <c r="K108" s="68">
        <f t="shared" si="32"/>
        <v>0</v>
      </c>
      <c r="L108" s="69"/>
      <c r="M108" s="69"/>
      <c r="N108" s="69"/>
      <c r="O108" s="69"/>
      <c r="P108" s="69"/>
      <c r="Q108" s="69"/>
      <c r="R108" s="69"/>
      <c r="S108" s="69"/>
      <c r="T108" s="68">
        <f t="shared" si="33"/>
        <v>0</v>
      </c>
      <c r="U108" s="69"/>
      <c r="V108" s="69"/>
      <c r="W108" s="69"/>
      <c r="X108" s="69"/>
      <c r="Y108" s="69"/>
      <c r="Z108" s="69"/>
    </row>
    <row r="109" spans="1:26" ht="39">
      <c r="A109" s="67" t="s">
        <v>400</v>
      </c>
      <c r="B109" s="67">
        <v>261.10000000000002</v>
      </c>
      <c r="C109" s="67" t="s">
        <v>631</v>
      </c>
      <c r="D109" s="68">
        <f t="shared" si="30"/>
        <v>10200</v>
      </c>
      <c r="E109" s="68">
        <f t="shared" si="31"/>
        <v>10200</v>
      </c>
      <c r="F109" s="69"/>
      <c r="G109" s="69"/>
      <c r="H109" s="211">
        <v>10200</v>
      </c>
      <c r="I109" s="69"/>
      <c r="J109" s="69"/>
      <c r="K109" s="68">
        <f t="shared" si="32"/>
        <v>0</v>
      </c>
      <c r="L109" s="69"/>
      <c r="M109" s="69"/>
      <c r="N109" s="69"/>
      <c r="O109" s="69"/>
      <c r="P109" s="69"/>
      <c r="Q109" s="69"/>
      <c r="R109" s="69"/>
      <c r="S109" s="69"/>
      <c r="T109" s="68">
        <f t="shared" si="33"/>
        <v>0</v>
      </c>
      <c r="U109" s="69"/>
      <c r="V109" s="69"/>
      <c r="W109" s="69"/>
      <c r="X109" s="69"/>
      <c r="Y109" s="69"/>
      <c r="Z109" s="69"/>
    </row>
    <row r="110" spans="1:26" ht="26">
      <c r="A110" s="67" t="s">
        <v>401</v>
      </c>
      <c r="B110" s="67">
        <v>261.11</v>
      </c>
      <c r="C110" s="67" t="s">
        <v>632</v>
      </c>
      <c r="D110" s="68">
        <f t="shared" si="30"/>
        <v>11900</v>
      </c>
      <c r="E110" s="68">
        <f t="shared" si="31"/>
        <v>11900</v>
      </c>
      <c r="F110" s="69"/>
      <c r="G110" s="69"/>
      <c r="H110" s="211">
        <v>11900</v>
      </c>
      <c r="I110" s="69"/>
      <c r="J110" s="69"/>
      <c r="K110" s="68">
        <f t="shared" si="32"/>
        <v>0</v>
      </c>
      <c r="L110" s="69"/>
      <c r="M110" s="69"/>
      <c r="N110" s="69"/>
      <c r="O110" s="69"/>
      <c r="P110" s="69"/>
      <c r="Q110" s="69"/>
      <c r="R110" s="69"/>
      <c r="S110" s="69"/>
      <c r="T110" s="68">
        <f t="shared" si="33"/>
        <v>0</v>
      </c>
      <c r="U110" s="69"/>
      <c r="V110" s="69"/>
      <c r="W110" s="69"/>
      <c r="X110" s="69"/>
      <c r="Y110" s="69"/>
      <c r="Z110" s="69"/>
    </row>
    <row r="111" spans="1:26" ht="26" hidden="1">
      <c r="A111" s="67" t="s">
        <v>402</v>
      </c>
      <c r="B111" s="67">
        <v>261.12</v>
      </c>
      <c r="C111" s="67" t="s">
        <v>633</v>
      </c>
      <c r="D111" s="68">
        <f t="shared" si="30"/>
        <v>0</v>
      </c>
      <c r="E111" s="68">
        <f t="shared" si="31"/>
        <v>0</v>
      </c>
      <c r="F111" s="69"/>
      <c r="G111" s="69"/>
      <c r="H111" s="211"/>
      <c r="I111" s="69"/>
      <c r="J111" s="69"/>
      <c r="K111" s="68">
        <f t="shared" si="32"/>
        <v>0</v>
      </c>
      <c r="L111" s="69"/>
      <c r="M111" s="69"/>
      <c r="N111" s="69"/>
      <c r="O111" s="69"/>
      <c r="P111" s="69"/>
      <c r="Q111" s="69"/>
      <c r="R111" s="69"/>
      <c r="S111" s="69"/>
      <c r="T111" s="68">
        <f t="shared" si="33"/>
        <v>0</v>
      </c>
      <c r="U111" s="69"/>
      <c r="V111" s="69"/>
      <c r="W111" s="69"/>
      <c r="X111" s="69"/>
      <c r="Y111" s="69"/>
      <c r="Z111" s="69"/>
    </row>
    <row r="112" spans="1:26" ht="26">
      <c r="A112" s="67" t="s">
        <v>403</v>
      </c>
      <c r="B112" s="67">
        <v>261.13</v>
      </c>
      <c r="C112" s="67" t="s">
        <v>634</v>
      </c>
      <c r="D112" s="68">
        <f t="shared" si="30"/>
        <v>238221.31999999995</v>
      </c>
      <c r="E112" s="68">
        <f t="shared" si="31"/>
        <v>238221.31999999995</v>
      </c>
      <c r="F112" s="69">
        <f>599757.72-361536.4</f>
        <v>238221.31999999995</v>
      </c>
      <c r="G112" s="69"/>
      <c r="H112" s="211"/>
      <c r="I112" s="69"/>
      <c r="J112" s="69"/>
      <c r="K112" s="68">
        <f t="shared" si="32"/>
        <v>0</v>
      </c>
      <c r="L112" s="69"/>
      <c r="M112" s="69"/>
      <c r="N112" s="69">
        <f>306300-306300</f>
        <v>0</v>
      </c>
      <c r="O112" s="69"/>
      <c r="P112" s="69"/>
      <c r="Q112" s="69"/>
      <c r="R112" s="69"/>
      <c r="S112" s="69"/>
      <c r="T112" s="68">
        <f t="shared" si="33"/>
        <v>0</v>
      </c>
      <c r="U112" s="69"/>
      <c r="V112" s="69"/>
      <c r="W112" s="69"/>
      <c r="X112" s="69"/>
      <c r="Y112" s="69"/>
      <c r="Z112" s="69"/>
    </row>
    <row r="113" spans="1:26" ht="52">
      <c r="A113" s="67" t="s">
        <v>404</v>
      </c>
      <c r="B113" s="67">
        <v>261.14</v>
      </c>
      <c r="C113" s="67" t="s">
        <v>635</v>
      </c>
      <c r="D113" s="68">
        <f t="shared" si="30"/>
        <v>301750</v>
      </c>
      <c r="E113" s="68">
        <f t="shared" si="31"/>
        <v>301750</v>
      </c>
      <c r="F113" s="69"/>
      <c r="G113" s="69"/>
      <c r="H113" s="211">
        <f>282700-4550</f>
        <v>278150</v>
      </c>
      <c r="I113" s="69"/>
      <c r="J113" s="69">
        <v>23600</v>
      </c>
      <c r="K113" s="68">
        <f t="shared" si="32"/>
        <v>0</v>
      </c>
      <c r="L113" s="69"/>
      <c r="M113" s="69"/>
      <c r="N113" s="69"/>
      <c r="O113" s="69"/>
      <c r="P113" s="69"/>
      <c r="Q113" s="69"/>
      <c r="R113" s="69"/>
      <c r="S113" s="69"/>
      <c r="T113" s="68">
        <f t="shared" si="33"/>
        <v>0</v>
      </c>
      <c r="U113" s="69"/>
      <c r="V113" s="69"/>
      <c r="W113" s="69"/>
      <c r="X113" s="69"/>
      <c r="Y113" s="69"/>
      <c r="Z113" s="69"/>
    </row>
    <row r="114" spans="1:26" ht="39">
      <c r="A114" s="67" t="s">
        <v>405</v>
      </c>
      <c r="B114" s="67">
        <v>261.14999999999998</v>
      </c>
      <c r="C114" s="67" t="s">
        <v>636</v>
      </c>
      <c r="D114" s="68">
        <f t="shared" si="30"/>
        <v>62217.34</v>
      </c>
      <c r="E114" s="68">
        <f t="shared" si="31"/>
        <v>62217.34</v>
      </c>
      <c r="F114" s="69">
        <v>1724.24</v>
      </c>
      <c r="G114" s="69"/>
      <c r="H114" s="211">
        <f>12717+34725+2593+1565+8893.1</f>
        <v>60493.1</v>
      </c>
      <c r="I114" s="69"/>
      <c r="J114" s="69"/>
      <c r="K114" s="68">
        <f t="shared" si="32"/>
        <v>0</v>
      </c>
      <c r="L114" s="69"/>
      <c r="M114" s="69"/>
      <c r="N114" s="69"/>
      <c r="O114" s="69"/>
      <c r="P114" s="69"/>
      <c r="Q114" s="69"/>
      <c r="R114" s="69"/>
      <c r="S114" s="69"/>
      <c r="T114" s="68">
        <f t="shared" si="33"/>
        <v>0</v>
      </c>
      <c r="U114" s="69"/>
      <c r="V114" s="69"/>
      <c r="W114" s="69"/>
      <c r="X114" s="69"/>
      <c r="Y114" s="69"/>
      <c r="Z114" s="69"/>
    </row>
    <row r="115" spans="1:26" ht="130" hidden="1">
      <c r="A115" s="67" t="s">
        <v>406</v>
      </c>
      <c r="B115" s="67">
        <v>261.16000000000003</v>
      </c>
      <c r="C115" s="67" t="s">
        <v>407</v>
      </c>
      <c r="D115" s="68">
        <f t="shared" si="30"/>
        <v>0</v>
      </c>
      <c r="E115" s="68">
        <f t="shared" si="31"/>
        <v>0</v>
      </c>
      <c r="F115" s="69"/>
      <c r="G115" s="69"/>
      <c r="H115" s="211"/>
      <c r="I115" s="69"/>
      <c r="J115" s="69"/>
      <c r="K115" s="68">
        <f t="shared" si="32"/>
        <v>0</v>
      </c>
      <c r="L115" s="69"/>
      <c r="M115" s="69"/>
      <c r="N115" s="69"/>
      <c r="O115" s="69"/>
      <c r="P115" s="69"/>
      <c r="Q115" s="69"/>
      <c r="R115" s="69"/>
      <c r="S115" s="69"/>
      <c r="T115" s="68">
        <f t="shared" si="33"/>
        <v>0</v>
      </c>
      <c r="U115" s="69"/>
      <c r="V115" s="69"/>
      <c r="W115" s="69"/>
      <c r="X115" s="69"/>
      <c r="Y115" s="69"/>
      <c r="Z115" s="69"/>
    </row>
    <row r="116" spans="1:26" ht="26">
      <c r="A116" s="67" t="s">
        <v>408</v>
      </c>
      <c r="B116" s="67">
        <v>261.17</v>
      </c>
      <c r="C116" s="67" t="s">
        <v>637</v>
      </c>
      <c r="D116" s="68">
        <f t="shared" si="30"/>
        <v>118789.7</v>
      </c>
      <c r="E116" s="68">
        <f t="shared" si="31"/>
        <v>118789.7</v>
      </c>
      <c r="F116" s="69"/>
      <c r="G116" s="69"/>
      <c r="H116" s="211">
        <f>27400+9800+15000</f>
        <v>52200</v>
      </c>
      <c r="I116" s="69"/>
      <c r="J116" s="69">
        <f>24420+42180-10.3</f>
        <v>66589.7</v>
      </c>
      <c r="K116" s="68">
        <f t="shared" si="32"/>
        <v>0</v>
      </c>
      <c r="L116" s="69"/>
      <c r="M116" s="69"/>
      <c r="N116" s="69"/>
      <c r="O116" s="69"/>
      <c r="P116" s="69"/>
      <c r="Q116" s="69"/>
      <c r="R116" s="69"/>
      <c r="S116" s="69"/>
      <c r="T116" s="68">
        <f t="shared" si="33"/>
        <v>0</v>
      </c>
      <c r="U116" s="69"/>
      <c r="V116" s="69"/>
      <c r="W116" s="69"/>
      <c r="X116" s="69"/>
      <c r="Y116" s="69"/>
      <c r="Z116" s="69"/>
    </row>
    <row r="117" spans="1:26" ht="105" customHeight="1">
      <c r="A117" s="67" t="s">
        <v>409</v>
      </c>
      <c r="B117" s="67">
        <v>261.18</v>
      </c>
      <c r="C117" s="67" t="s">
        <v>638</v>
      </c>
      <c r="D117" s="68">
        <f t="shared" si="30"/>
        <v>5564.2199999999993</v>
      </c>
      <c r="E117" s="68">
        <f t="shared" si="31"/>
        <v>5564.2199999999993</v>
      </c>
      <c r="F117" s="69">
        <f>13900-8335.78</f>
        <v>5564.2199999999993</v>
      </c>
      <c r="G117" s="69"/>
      <c r="H117" s="211"/>
      <c r="I117" s="69"/>
      <c r="J117" s="69"/>
      <c r="K117" s="68">
        <f t="shared" si="32"/>
        <v>0</v>
      </c>
      <c r="L117" s="69"/>
      <c r="M117" s="69"/>
      <c r="N117" s="69"/>
      <c r="O117" s="69"/>
      <c r="P117" s="69"/>
      <c r="Q117" s="69"/>
      <c r="R117" s="69"/>
      <c r="S117" s="69"/>
      <c r="T117" s="68">
        <f t="shared" si="33"/>
        <v>0</v>
      </c>
      <c r="U117" s="69"/>
      <c r="V117" s="69"/>
      <c r="W117" s="69"/>
      <c r="X117" s="69"/>
      <c r="Y117" s="69"/>
      <c r="Z117" s="69"/>
    </row>
    <row r="118" spans="1:26" ht="91" hidden="1">
      <c r="A118" s="67" t="s">
        <v>410</v>
      </c>
      <c r="B118" s="67">
        <v>261.19</v>
      </c>
      <c r="C118" s="67" t="s">
        <v>639</v>
      </c>
      <c r="D118" s="68">
        <f t="shared" si="30"/>
        <v>0</v>
      </c>
      <c r="E118" s="68">
        <f t="shared" si="31"/>
        <v>0</v>
      </c>
      <c r="F118" s="69"/>
      <c r="G118" s="69"/>
      <c r="H118" s="211"/>
      <c r="I118" s="69"/>
      <c r="J118" s="69"/>
      <c r="K118" s="68">
        <f t="shared" si="32"/>
        <v>0</v>
      </c>
      <c r="L118" s="69"/>
      <c r="M118" s="69"/>
      <c r="N118" s="69"/>
      <c r="O118" s="69"/>
      <c r="P118" s="69"/>
      <c r="Q118" s="69"/>
      <c r="R118" s="69"/>
      <c r="S118" s="69"/>
      <c r="T118" s="68">
        <f t="shared" si="33"/>
        <v>0</v>
      </c>
      <c r="U118" s="69"/>
      <c r="V118" s="69"/>
      <c r="W118" s="69"/>
      <c r="X118" s="69"/>
      <c r="Y118" s="69"/>
      <c r="Z118" s="69"/>
    </row>
    <row r="119" spans="1:26" ht="39">
      <c r="A119" s="67" t="s">
        <v>411</v>
      </c>
      <c r="B119" s="67">
        <v>261.2</v>
      </c>
      <c r="C119" s="67" t="s">
        <v>640</v>
      </c>
      <c r="D119" s="68">
        <f t="shared" si="30"/>
        <v>112614</v>
      </c>
      <c r="E119" s="68">
        <f t="shared" si="31"/>
        <v>112614</v>
      </c>
      <c r="F119" s="69">
        <f>8335.78-1724.24</f>
        <v>6611.5400000000009</v>
      </c>
      <c r="G119" s="69"/>
      <c r="H119" s="211">
        <f>11601.24-4809.08</f>
        <v>6792.16</v>
      </c>
      <c r="I119" s="69"/>
      <c r="J119" s="69">
        <f>99200+10.3</f>
        <v>99210.3</v>
      </c>
      <c r="K119" s="68">
        <f t="shared" si="32"/>
        <v>0</v>
      </c>
      <c r="L119" s="69"/>
      <c r="M119" s="69"/>
      <c r="N119" s="69"/>
      <c r="O119" s="69"/>
      <c r="P119" s="69"/>
      <c r="Q119" s="69"/>
      <c r="R119" s="69"/>
      <c r="S119" s="69"/>
      <c r="T119" s="68">
        <f t="shared" si="33"/>
        <v>0</v>
      </c>
      <c r="U119" s="69"/>
      <c r="V119" s="69"/>
      <c r="W119" s="69"/>
      <c r="X119" s="69"/>
      <c r="Y119" s="69"/>
      <c r="Z119" s="69"/>
    </row>
    <row r="120" spans="1:26" ht="26" hidden="1">
      <c r="A120" s="67" t="s">
        <v>412</v>
      </c>
      <c r="B120" s="67">
        <v>261.20999999999998</v>
      </c>
      <c r="C120" s="67" t="s">
        <v>413</v>
      </c>
      <c r="D120" s="68">
        <f t="shared" si="30"/>
        <v>0</v>
      </c>
      <c r="E120" s="68">
        <f t="shared" si="31"/>
        <v>0</v>
      </c>
      <c r="F120" s="69"/>
      <c r="G120" s="69"/>
      <c r="H120" s="211"/>
      <c r="I120" s="69"/>
      <c r="J120" s="69"/>
      <c r="K120" s="68">
        <f t="shared" si="32"/>
        <v>0</v>
      </c>
      <c r="L120" s="69"/>
      <c r="M120" s="69"/>
      <c r="N120" s="69"/>
      <c r="O120" s="69"/>
      <c r="P120" s="69"/>
      <c r="Q120" s="69"/>
      <c r="R120" s="69"/>
      <c r="S120" s="69"/>
      <c r="T120" s="68">
        <f t="shared" si="33"/>
        <v>0</v>
      </c>
      <c r="U120" s="69"/>
      <c r="V120" s="69"/>
      <c r="W120" s="69"/>
      <c r="X120" s="69"/>
      <c r="Y120" s="69"/>
      <c r="Z120" s="69"/>
    </row>
    <row r="121" spans="1:26" ht="39">
      <c r="A121" s="67" t="s">
        <v>414</v>
      </c>
      <c r="B121" s="67">
        <v>261.22000000000003</v>
      </c>
      <c r="C121" s="67" t="s">
        <v>641</v>
      </c>
      <c r="D121" s="68">
        <f t="shared" si="30"/>
        <v>24398.760000000002</v>
      </c>
      <c r="E121" s="68">
        <f t="shared" si="31"/>
        <v>24398.760000000002</v>
      </c>
      <c r="F121" s="69"/>
      <c r="G121" s="69"/>
      <c r="H121" s="211">
        <f>36800-12401.24</f>
        <v>24398.760000000002</v>
      </c>
      <c r="I121" s="69"/>
      <c r="J121" s="69"/>
      <c r="K121" s="68">
        <f t="shared" si="32"/>
        <v>0</v>
      </c>
      <c r="L121" s="69"/>
      <c r="M121" s="69"/>
      <c r="N121" s="69"/>
      <c r="O121" s="69"/>
      <c r="P121" s="69"/>
      <c r="Q121" s="69"/>
      <c r="R121" s="69"/>
      <c r="S121" s="69"/>
      <c r="T121" s="68">
        <f t="shared" si="33"/>
        <v>0</v>
      </c>
      <c r="U121" s="69"/>
      <c r="V121" s="69"/>
      <c r="W121" s="69"/>
      <c r="X121" s="69"/>
      <c r="Y121" s="69"/>
      <c r="Z121" s="69"/>
    </row>
    <row r="122" spans="1:26" ht="26">
      <c r="A122" s="67" t="s">
        <v>415</v>
      </c>
      <c r="B122" s="67">
        <v>261.23</v>
      </c>
      <c r="C122" s="67" t="s">
        <v>642</v>
      </c>
      <c r="D122" s="68">
        <f t="shared" si="30"/>
        <v>13315.98</v>
      </c>
      <c r="E122" s="68">
        <f t="shared" si="31"/>
        <v>13315.98</v>
      </c>
      <c r="F122" s="69"/>
      <c r="G122" s="69"/>
      <c r="H122" s="211">
        <f>15000-1684.02</f>
        <v>13315.98</v>
      </c>
      <c r="I122" s="69"/>
      <c r="J122" s="69"/>
      <c r="K122" s="68">
        <f t="shared" si="32"/>
        <v>0</v>
      </c>
      <c r="L122" s="69"/>
      <c r="M122" s="69"/>
      <c r="N122" s="69"/>
      <c r="O122" s="69"/>
      <c r="P122" s="69"/>
      <c r="Q122" s="69"/>
      <c r="R122" s="69"/>
      <c r="S122" s="69"/>
      <c r="T122" s="68">
        <f t="shared" si="33"/>
        <v>0</v>
      </c>
      <c r="U122" s="69"/>
      <c r="V122" s="69"/>
      <c r="W122" s="69"/>
      <c r="X122" s="69"/>
      <c r="Y122" s="69"/>
      <c r="Z122" s="69"/>
    </row>
    <row r="123" spans="1:26" ht="169" hidden="1">
      <c r="A123" s="67" t="s">
        <v>416</v>
      </c>
      <c r="B123" s="67">
        <v>261.24</v>
      </c>
      <c r="C123" s="67" t="s">
        <v>417</v>
      </c>
      <c r="D123" s="68">
        <f t="shared" si="30"/>
        <v>0</v>
      </c>
      <c r="E123" s="68">
        <f t="shared" si="31"/>
        <v>0</v>
      </c>
      <c r="F123" s="69"/>
      <c r="G123" s="69"/>
      <c r="H123" s="211"/>
      <c r="I123" s="69"/>
      <c r="J123" s="69"/>
      <c r="K123" s="68">
        <f t="shared" si="32"/>
        <v>0</v>
      </c>
      <c r="L123" s="69"/>
      <c r="M123" s="69"/>
      <c r="N123" s="69"/>
      <c r="O123" s="69"/>
      <c r="P123" s="69"/>
      <c r="Q123" s="69"/>
      <c r="R123" s="69"/>
      <c r="S123" s="69"/>
      <c r="T123" s="68">
        <f t="shared" si="33"/>
        <v>0</v>
      </c>
      <c r="U123" s="69"/>
      <c r="V123" s="69"/>
      <c r="W123" s="69"/>
      <c r="X123" s="69"/>
      <c r="Y123" s="69"/>
      <c r="Z123" s="69"/>
    </row>
    <row r="124" spans="1:26" ht="52">
      <c r="A124" s="67" t="s">
        <v>418</v>
      </c>
      <c r="B124" s="67">
        <v>261.25</v>
      </c>
      <c r="C124" s="67" t="s">
        <v>643</v>
      </c>
      <c r="D124" s="68">
        <f t="shared" si="30"/>
        <v>6600</v>
      </c>
      <c r="E124" s="68">
        <f t="shared" si="31"/>
        <v>6600</v>
      </c>
      <c r="F124" s="69"/>
      <c r="G124" s="69"/>
      <c r="H124" s="211">
        <f>24000-17400</f>
        <v>6600</v>
      </c>
      <c r="I124" s="69"/>
      <c r="J124" s="69"/>
      <c r="K124" s="68">
        <f t="shared" si="32"/>
        <v>0</v>
      </c>
      <c r="L124" s="69"/>
      <c r="M124" s="69"/>
      <c r="N124" s="69"/>
      <c r="O124" s="69"/>
      <c r="P124" s="69"/>
      <c r="Q124" s="69"/>
      <c r="R124" s="69"/>
      <c r="S124" s="69"/>
      <c r="T124" s="68">
        <f t="shared" si="33"/>
        <v>0</v>
      </c>
      <c r="U124" s="69"/>
      <c r="V124" s="69"/>
      <c r="W124" s="69"/>
      <c r="X124" s="69"/>
      <c r="Y124" s="69"/>
      <c r="Z124" s="69"/>
    </row>
    <row r="125" spans="1:26" ht="26">
      <c r="A125" s="67" t="s">
        <v>419</v>
      </c>
      <c r="B125" s="67">
        <v>261.26</v>
      </c>
      <c r="C125" s="67" t="s">
        <v>644</v>
      </c>
      <c r="D125" s="68">
        <f t="shared" si="30"/>
        <v>189719.13</v>
      </c>
      <c r="E125" s="68">
        <f t="shared" si="31"/>
        <v>189719.13</v>
      </c>
      <c r="F125" s="69">
        <f>22300+60000-7580.87</f>
        <v>74719.13</v>
      </c>
      <c r="G125" s="69"/>
      <c r="H125" s="211">
        <v>115000</v>
      </c>
      <c r="I125" s="69"/>
      <c r="J125" s="69"/>
      <c r="K125" s="68">
        <f t="shared" si="32"/>
        <v>0</v>
      </c>
      <c r="L125" s="69"/>
      <c r="M125" s="69"/>
      <c r="N125" s="69"/>
      <c r="O125" s="69"/>
      <c r="P125" s="69"/>
      <c r="Q125" s="69"/>
      <c r="R125" s="69"/>
      <c r="S125" s="69"/>
      <c r="T125" s="68">
        <f t="shared" si="33"/>
        <v>0</v>
      </c>
      <c r="U125" s="69"/>
      <c r="V125" s="69"/>
      <c r="W125" s="69"/>
      <c r="X125" s="69"/>
      <c r="Y125" s="69"/>
      <c r="Z125" s="69"/>
    </row>
    <row r="126" spans="1:26" ht="39" hidden="1">
      <c r="A126" s="67" t="s">
        <v>420</v>
      </c>
      <c r="B126" s="67">
        <v>261.27</v>
      </c>
      <c r="C126" s="67" t="s">
        <v>421</v>
      </c>
      <c r="D126" s="68">
        <f t="shared" si="30"/>
        <v>0</v>
      </c>
      <c r="E126" s="68">
        <f t="shared" si="31"/>
        <v>0</v>
      </c>
      <c r="F126" s="69"/>
      <c r="G126" s="69"/>
      <c r="H126" s="211"/>
      <c r="I126" s="69"/>
      <c r="J126" s="69"/>
      <c r="K126" s="68">
        <f t="shared" si="32"/>
        <v>0</v>
      </c>
      <c r="L126" s="69"/>
      <c r="M126" s="69"/>
      <c r="N126" s="69"/>
      <c r="O126" s="69"/>
      <c r="P126" s="69"/>
      <c r="Q126" s="69"/>
      <c r="R126" s="69"/>
      <c r="S126" s="69"/>
      <c r="T126" s="68">
        <f t="shared" si="33"/>
        <v>0</v>
      </c>
      <c r="U126" s="69"/>
      <c r="V126" s="69"/>
      <c r="W126" s="69"/>
      <c r="X126" s="69"/>
      <c r="Y126" s="69"/>
      <c r="Z126" s="69"/>
    </row>
    <row r="127" spans="1:26" ht="52" hidden="1">
      <c r="A127" s="67" t="s">
        <v>422</v>
      </c>
      <c r="B127" s="67">
        <v>261.27999999999997</v>
      </c>
      <c r="C127" s="67" t="s">
        <v>645</v>
      </c>
      <c r="D127" s="68">
        <f t="shared" si="30"/>
        <v>0</v>
      </c>
      <c r="E127" s="68">
        <f t="shared" si="31"/>
        <v>0</v>
      </c>
      <c r="F127" s="69"/>
      <c r="G127" s="69"/>
      <c r="H127" s="211"/>
      <c r="I127" s="69"/>
      <c r="J127" s="69"/>
      <c r="K127" s="68">
        <f t="shared" si="32"/>
        <v>0</v>
      </c>
      <c r="L127" s="69"/>
      <c r="M127" s="69"/>
      <c r="N127" s="69"/>
      <c r="O127" s="69"/>
      <c r="P127" s="69"/>
      <c r="Q127" s="69"/>
      <c r="R127" s="69"/>
      <c r="S127" s="69"/>
      <c r="T127" s="68">
        <f t="shared" si="33"/>
        <v>0</v>
      </c>
      <c r="U127" s="69"/>
      <c r="V127" s="69"/>
      <c r="W127" s="69"/>
      <c r="X127" s="69"/>
      <c r="Y127" s="69"/>
      <c r="Z127" s="69"/>
    </row>
    <row r="128" spans="1:26" ht="26" hidden="1">
      <c r="A128" s="67" t="s">
        <v>423</v>
      </c>
      <c r="B128" s="67">
        <v>261.29000000000002</v>
      </c>
      <c r="C128" s="67" t="s">
        <v>424</v>
      </c>
      <c r="D128" s="68">
        <f t="shared" si="30"/>
        <v>0</v>
      </c>
      <c r="E128" s="68">
        <f t="shared" si="31"/>
        <v>0</v>
      </c>
      <c r="F128" s="69"/>
      <c r="G128" s="69"/>
      <c r="H128" s="211"/>
      <c r="I128" s="69"/>
      <c r="J128" s="69"/>
      <c r="K128" s="68">
        <f t="shared" si="32"/>
        <v>0</v>
      </c>
      <c r="L128" s="69"/>
      <c r="M128" s="69"/>
      <c r="N128" s="69"/>
      <c r="O128" s="69"/>
      <c r="P128" s="69"/>
      <c r="Q128" s="69"/>
      <c r="R128" s="69"/>
      <c r="S128" s="69"/>
      <c r="T128" s="68">
        <f t="shared" si="33"/>
        <v>0</v>
      </c>
      <c r="U128" s="69"/>
      <c r="V128" s="69"/>
      <c r="W128" s="69"/>
      <c r="X128" s="69"/>
      <c r="Y128" s="69"/>
      <c r="Z128" s="69"/>
    </row>
    <row r="129" spans="1:26" ht="26">
      <c r="A129" s="67" t="s">
        <v>425</v>
      </c>
      <c r="B129" s="67">
        <v>261.3</v>
      </c>
      <c r="C129" s="67" t="s">
        <v>646</v>
      </c>
      <c r="D129" s="68">
        <f t="shared" si="30"/>
        <v>40000</v>
      </c>
      <c r="E129" s="68">
        <f t="shared" si="31"/>
        <v>40000</v>
      </c>
      <c r="F129" s="69"/>
      <c r="G129" s="69"/>
      <c r="H129" s="211">
        <v>40000</v>
      </c>
      <c r="I129" s="69"/>
      <c r="J129" s="69"/>
      <c r="K129" s="68">
        <f t="shared" si="32"/>
        <v>0</v>
      </c>
      <c r="L129" s="69"/>
      <c r="M129" s="69"/>
      <c r="N129" s="69"/>
      <c r="O129" s="69"/>
      <c r="P129" s="69"/>
      <c r="Q129" s="69"/>
      <c r="R129" s="69"/>
      <c r="S129" s="69"/>
      <c r="T129" s="68">
        <f t="shared" si="33"/>
        <v>0</v>
      </c>
      <c r="U129" s="69"/>
      <c r="V129" s="69"/>
      <c r="W129" s="69"/>
      <c r="X129" s="69"/>
      <c r="Y129" s="69"/>
      <c r="Z129" s="69"/>
    </row>
    <row r="130" spans="1:26" ht="26" hidden="1">
      <c r="A130" s="67" t="s">
        <v>426</v>
      </c>
      <c r="B130" s="67">
        <v>261.31</v>
      </c>
      <c r="C130" s="67" t="s">
        <v>427</v>
      </c>
      <c r="D130" s="68">
        <f t="shared" si="30"/>
        <v>0</v>
      </c>
      <c r="E130" s="68">
        <f t="shared" si="31"/>
        <v>0</v>
      </c>
      <c r="F130" s="69"/>
      <c r="G130" s="69"/>
      <c r="H130" s="211"/>
      <c r="I130" s="69"/>
      <c r="J130" s="69"/>
      <c r="K130" s="68">
        <f t="shared" si="32"/>
        <v>0</v>
      </c>
      <c r="L130" s="69"/>
      <c r="M130" s="69"/>
      <c r="N130" s="69"/>
      <c r="O130" s="69"/>
      <c r="P130" s="69"/>
      <c r="Q130" s="69"/>
      <c r="R130" s="69"/>
      <c r="S130" s="69"/>
      <c r="T130" s="68">
        <f t="shared" si="33"/>
        <v>0</v>
      </c>
      <c r="U130" s="69"/>
      <c r="V130" s="69"/>
      <c r="W130" s="69"/>
      <c r="X130" s="69"/>
      <c r="Y130" s="69"/>
      <c r="Z130" s="69"/>
    </row>
    <row r="131" spans="1:26" ht="26" hidden="1">
      <c r="A131" s="67" t="s">
        <v>428</v>
      </c>
      <c r="B131" s="67">
        <v>261.32</v>
      </c>
      <c r="C131" s="67" t="s">
        <v>647</v>
      </c>
      <c r="D131" s="68">
        <f t="shared" si="30"/>
        <v>0</v>
      </c>
      <c r="E131" s="68">
        <f t="shared" si="31"/>
        <v>0</v>
      </c>
      <c r="F131" s="69"/>
      <c r="G131" s="69"/>
      <c r="H131" s="211"/>
      <c r="I131" s="69"/>
      <c r="J131" s="69"/>
      <c r="K131" s="68">
        <f t="shared" si="32"/>
        <v>0</v>
      </c>
      <c r="L131" s="69"/>
      <c r="M131" s="69"/>
      <c r="N131" s="69"/>
      <c r="O131" s="69"/>
      <c r="P131" s="69"/>
      <c r="Q131" s="69"/>
      <c r="R131" s="69"/>
      <c r="S131" s="69"/>
      <c r="T131" s="68">
        <f t="shared" si="33"/>
        <v>0</v>
      </c>
      <c r="U131" s="69"/>
      <c r="V131" s="69"/>
      <c r="W131" s="69"/>
      <c r="X131" s="69"/>
      <c r="Y131" s="69"/>
      <c r="Z131" s="69"/>
    </row>
    <row r="132" spans="1:26" ht="26" hidden="1">
      <c r="A132" s="67" t="s">
        <v>429</v>
      </c>
      <c r="B132" s="67">
        <v>261.33</v>
      </c>
      <c r="C132" s="67" t="s">
        <v>648</v>
      </c>
      <c r="D132" s="68">
        <f t="shared" si="30"/>
        <v>0</v>
      </c>
      <c r="E132" s="68">
        <f t="shared" si="31"/>
        <v>0</v>
      </c>
      <c r="F132" s="69"/>
      <c r="G132" s="69"/>
      <c r="H132" s="211"/>
      <c r="I132" s="69"/>
      <c r="J132" s="69"/>
      <c r="K132" s="68">
        <f t="shared" si="32"/>
        <v>0</v>
      </c>
      <c r="L132" s="69"/>
      <c r="M132" s="69"/>
      <c r="N132" s="69"/>
      <c r="O132" s="69"/>
      <c r="P132" s="69"/>
      <c r="Q132" s="69"/>
      <c r="R132" s="69"/>
      <c r="S132" s="69"/>
      <c r="T132" s="68">
        <f t="shared" si="33"/>
        <v>0</v>
      </c>
      <c r="U132" s="69"/>
      <c r="V132" s="69"/>
      <c r="W132" s="69"/>
      <c r="X132" s="69"/>
      <c r="Y132" s="69"/>
      <c r="Z132" s="69"/>
    </row>
    <row r="133" spans="1:26" ht="26" hidden="1">
      <c r="A133" s="67" t="s">
        <v>430</v>
      </c>
      <c r="B133" s="67">
        <v>261.33999999999997</v>
      </c>
      <c r="C133" s="67" t="s">
        <v>431</v>
      </c>
      <c r="D133" s="68">
        <f t="shared" si="30"/>
        <v>0</v>
      </c>
      <c r="E133" s="68">
        <f t="shared" si="31"/>
        <v>0</v>
      </c>
      <c r="F133" s="69"/>
      <c r="G133" s="69"/>
      <c r="H133" s="211"/>
      <c r="I133" s="69"/>
      <c r="J133" s="69"/>
      <c r="K133" s="68">
        <f t="shared" si="32"/>
        <v>0</v>
      </c>
      <c r="L133" s="69"/>
      <c r="M133" s="69"/>
      <c r="N133" s="69"/>
      <c r="O133" s="69"/>
      <c r="P133" s="69"/>
      <c r="Q133" s="69"/>
      <c r="R133" s="69"/>
      <c r="S133" s="69"/>
      <c r="T133" s="68">
        <f t="shared" si="33"/>
        <v>0</v>
      </c>
      <c r="U133" s="69"/>
      <c r="V133" s="69"/>
      <c r="W133" s="69"/>
      <c r="X133" s="69"/>
      <c r="Y133" s="69"/>
      <c r="Z133" s="69"/>
    </row>
    <row r="134" spans="1:26" ht="26" hidden="1">
      <c r="A134" s="67" t="s">
        <v>432</v>
      </c>
      <c r="B134" s="67">
        <v>261.35000000000002</v>
      </c>
      <c r="C134" s="67" t="s">
        <v>433</v>
      </c>
      <c r="D134" s="68">
        <f t="shared" si="30"/>
        <v>0</v>
      </c>
      <c r="E134" s="68">
        <f t="shared" si="31"/>
        <v>0</v>
      </c>
      <c r="F134" s="69"/>
      <c r="G134" s="69"/>
      <c r="H134" s="211"/>
      <c r="I134" s="69"/>
      <c r="J134" s="69"/>
      <c r="K134" s="68">
        <f t="shared" si="32"/>
        <v>0</v>
      </c>
      <c r="L134" s="69"/>
      <c r="M134" s="69"/>
      <c r="N134" s="69"/>
      <c r="O134" s="69"/>
      <c r="P134" s="69"/>
      <c r="Q134" s="69"/>
      <c r="R134" s="69"/>
      <c r="S134" s="69"/>
      <c r="T134" s="68">
        <f t="shared" si="33"/>
        <v>0</v>
      </c>
      <c r="U134" s="69"/>
      <c r="V134" s="69"/>
      <c r="W134" s="69"/>
      <c r="X134" s="69"/>
      <c r="Y134" s="69"/>
      <c r="Z134" s="69"/>
    </row>
    <row r="135" spans="1:26" ht="26">
      <c r="A135" s="67" t="s">
        <v>434</v>
      </c>
      <c r="B135" s="67">
        <v>261.36</v>
      </c>
      <c r="C135" s="67" t="s">
        <v>649</v>
      </c>
      <c r="D135" s="68">
        <f t="shared" si="30"/>
        <v>86786.670000000013</v>
      </c>
      <c r="E135" s="68">
        <f t="shared" si="31"/>
        <v>51130.87</v>
      </c>
      <c r="F135" s="69">
        <v>7580.87</v>
      </c>
      <c r="G135" s="69"/>
      <c r="H135" s="211">
        <f>4550+24000+15000</f>
        <v>43550</v>
      </c>
      <c r="I135" s="69"/>
      <c r="J135" s="69"/>
      <c r="K135" s="68">
        <f t="shared" si="32"/>
        <v>0</v>
      </c>
      <c r="L135" s="69"/>
      <c r="M135" s="69"/>
      <c r="N135" s="69"/>
      <c r="O135" s="69"/>
      <c r="P135" s="69"/>
      <c r="Q135" s="69"/>
      <c r="R135" s="69"/>
      <c r="S135" s="69"/>
      <c r="T135" s="68">
        <f t="shared" si="33"/>
        <v>35655.800000000003</v>
      </c>
      <c r="U135" s="69"/>
      <c r="V135" s="69"/>
      <c r="W135" s="69"/>
      <c r="X135" s="69"/>
      <c r="Y135" s="69">
        <v>35000</v>
      </c>
      <c r="Z135" s="69">
        <f>655.8</f>
        <v>655.8</v>
      </c>
    </row>
    <row r="136" spans="1:26">
      <c r="A136" s="67"/>
      <c r="B136" s="67"/>
      <c r="C136" s="67"/>
      <c r="D136" s="68"/>
      <c r="E136" s="68"/>
      <c r="F136" s="69"/>
      <c r="G136" s="69"/>
      <c r="H136" s="211"/>
      <c r="I136" s="69"/>
      <c r="J136" s="69"/>
      <c r="K136" s="68"/>
      <c r="L136" s="69"/>
      <c r="M136" s="69"/>
      <c r="N136" s="69"/>
      <c r="O136" s="69"/>
      <c r="P136" s="69"/>
      <c r="Q136" s="69"/>
      <c r="R136" s="69"/>
      <c r="S136" s="69"/>
      <c r="T136" s="68"/>
      <c r="U136" s="69"/>
      <c r="V136" s="69"/>
      <c r="W136" s="69"/>
      <c r="X136" s="69"/>
      <c r="Y136" s="69"/>
      <c r="Z136" s="69"/>
    </row>
    <row r="137" spans="1:26" ht="26" hidden="1">
      <c r="A137" s="67" t="s">
        <v>435</v>
      </c>
      <c r="B137" s="67">
        <v>300</v>
      </c>
      <c r="C137" s="67" t="s">
        <v>312</v>
      </c>
      <c r="D137" s="68">
        <f>E137+K137+S137+T137</f>
        <v>0</v>
      </c>
      <c r="E137" s="68">
        <f>SUM(F137:J137)</f>
        <v>0</v>
      </c>
      <c r="F137" s="68"/>
      <c r="G137" s="68"/>
      <c r="H137" s="210"/>
      <c r="I137" s="68"/>
      <c r="J137" s="68"/>
      <c r="K137" s="68">
        <f>SUM(L137:R137)</f>
        <v>0</v>
      </c>
      <c r="L137" s="68"/>
      <c r="M137" s="68"/>
      <c r="N137" s="68"/>
      <c r="O137" s="68"/>
      <c r="P137" s="68"/>
      <c r="Q137" s="68"/>
      <c r="R137" s="68"/>
      <c r="S137" s="68"/>
      <c r="T137" s="68">
        <f>SUM(U137:Z137)</f>
        <v>0</v>
      </c>
      <c r="U137" s="68"/>
      <c r="V137" s="68"/>
      <c r="W137" s="68"/>
      <c r="X137" s="68"/>
      <c r="Y137" s="68"/>
      <c r="Z137" s="68"/>
    </row>
    <row r="138" spans="1:26" hidden="1">
      <c r="A138" s="67" t="s">
        <v>225</v>
      </c>
      <c r="B138" s="67"/>
      <c r="C138" s="67"/>
      <c r="D138" s="68"/>
      <c r="E138" s="68"/>
      <c r="F138" s="69"/>
      <c r="G138" s="69"/>
      <c r="H138" s="211"/>
      <c r="I138" s="69"/>
      <c r="J138" s="69"/>
      <c r="K138" s="68"/>
      <c r="L138" s="69"/>
      <c r="M138" s="69"/>
      <c r="N138" s="69"/>
      <c r="O138" s="69"/>
      <c r="P138" s="69"/>
      <c r="Q138" s="69"/>
      <c r="R138" s="69"/>
      <c r="S138" s="69"/>
      <c r="T138" s="68"/>
      <c r="U138" s="69"/>
      <c r="V138" s="69"/>
      <c r="W138" s="69"/>
      <c r="X138" s="69"/>
      <c r="Y138" s="69"/>
      <c r="Z138" s="69"/>
    </row>
    <row r="139" spans="1:26" hidden="1">
      <c r="A139" s="67" t="s">
        <v>436</v>
      </c>
      <c r="B139" s="67">
        <v>310</v>
      </c>
      <c r="C139" s="67">
        <v>510</v>
      </c>
      <c r="D139" s="68">
        <f>E139+K139+S139+T139</f>
        <v>0</v>
      </c>
      <c r="E139" s="68">
        <f>SUM(F139:J139)</f>
        <v>0</v>
      </c>
      <c r="F139" s="69"/>
      <c r="G139" s="69"/>
      <c r="H139" s="211"/>
      <c r="I139" s="69"/>
      <c r="J139" s="69"/>
      <c r="K139" s="68">
        <f>SUM(L139:R139)</f>
        <v>0</v>
      </c>
      <c r="L139" s="69"/>
      <c r="M139" s="69"/>
      <c r="N139" s="69"/>
      <c r="O139" s="69"/>
      <c r="P139" s="69"/>
      <c r="Q139" s="69"/>
      <c r="R139" s="69"/>
      <c r="S139" s="69"/>
      <c r="T139" s="68">
        <f>SUM(U139:Z139)</f>
        <v>0</v>
      </c>
      <c r="U139" s="69"/>
      <c r="V139" s="69"/>
      <c r="W139" s="69"/>
      <c r="X139" s="69"/>
      <c r="Y139" s="69"/>
      <c r="Z139" s="69"/>
    </row>
    <row r="140" spans="1:26" hidden="1">
      <c r="A140" s="67" t="s">
        <v>437</v>
      </c>
      <c r="B140" s="67">
        <v>320</v>
      </c>
      <c r="C140" s="67"/>
      <c r="D140" s="68">
        <f>E140+K140+S140+T140</f>
        <v>0</v>
      </c>
      <c r="E140" s="68">
        <f>SUM(F140:J140)</f>
        <v>0</v>
      </c>
      <c r="F140" s="69"/>
      <c r="G140" s="69"/>
      <c r="H140" s="211"/>
      <c r="I140" s="69"/>
      <c r="J140" s="69"/>
      <c r="K140" s="68">
        <f>SUM(L140:R140)</f>
        <v>0</v>
      </c>
      <c r="L140" s="69"/>
      <c r="M140" s="69"/>
      <c r="N140" s="69"/>
      <c r="O140" s="69"/>
      <c r="P140" s="69"/>
      <c r="Q140" s="69"/>
      <c r="R140" s="69"/>
      <c r="S140" s="69"/>
      <c r="T140" s="68">
        <f>SUM(U140:Z140)</f>
        <v>0</v>
      </c>
      <c r="U140" s="69"/>
      <c r="V140" s="69"/>
      <c r="W140" s="69"/>
      <c r="X140" s="69"/>
      <c r="Y140" s="69"/>
      <c r="Z140" s="69"/>
    </row>
    <row r="141" spans="1:26" ht="24.75" hidden="1" customHeight="1">
      <c r="A141" s="67" t="s">
        <v>438</v>
      </c>
      <c r="B141" s="67">
        <v>400</v>
      </c>
      <c r="C141" s="67">
        <v>600</v>
      </c>
      <c r="D141" s="68">
        <f>E141+K141+S141+T141</f>
        <v>0</v>
      </c>
      <c r="E141" s="68">
        <f>SUM(F141:J141)</f>
        <v>0</v>
      </c>
      <c r="F141" s="68"/>
      <c r="G141" s="68"/>
      <c r="H141" s="210"/>
      <c r="I141" s="68"/>
      <c r="J141" s="68"/>
      <c r="K141" s="68">
        <f>SUM(L141:R141)</f>
        <v>0</v>
      </c>
      <c r="L141" s="68"/>
      <c r="M141" s="68"/>
      <c r="N141" s="68"/>
      <c r="O141" s="68"/>
      <c r="P141" s="68"/>
      <c r="Q141" s="68"/>
      <c r="R141" s="68"/>
      <c r="S141" s="68"/>
      <c r="T141" s="68">
        <f>SUM(U141:Z141)</f>
        <v>0</v>
      </c>
      <c r="U141" s="68"/>
      <c r="V141" s="68"/>
      <c r="W141" s="68"/>
      <c r="X141" s="68"/>
      <c r="Y141" s="68"/>
      <c r="Z141" s="68"/>
    </row>
    <row r="142" spans="1:26" hidden="1">
      <c r="A142" s="67" t="s">
        <v>225</v>
      </c>
      <c r="B142" s="67"/>
      <c r="C142" s="67"/>
      <c r="D142" s="68"/>
      <c r="E142" s="68"/>
      <c r="F142" s="69"/>
      <c r="G142" s="69"/>
      <c r="H142" s="211"/>
      <c r="I142" s="69"/>
      <c r="J142" s="69"/>
      <c r="K142" s="68"/>
      <c r="L142" s="69"/>
      <c r="M142" s="69"/>
      <c r="N142" s="69"/>
      <c r="O142" s="69"/>
      <c r="P142" s="69"/>
      <c r="Q142" s="69"/>
      <c r="R142" s="69"/>
      <c r="S142" s="69"/>
      <c r="T142" s="68"/>
      <c r="U142" s="69"/>
      <c r="V142" s="69"/>
      <c r="W142" s="69"/>
      <c r="X142" s="69"/>
      <c r="Y142" s="69"/>
      <c r="Z142" s="69"/>
    </row>
    <row r="143" spans="1:26" hidden="1">
      <c r="A143" s="67" t="s">
        <v>439</v>
      </c>
      <c r="B143" s="67">
        <v>410</v>
      </c>
      <c r="C143" s="67">
        <v>610</v>
      </c>
      <c r="D143" s="68">
        <f>E143+K143+S143+T143</f>
        <v>0</v>
      </c>
      <c r="E143" s="68">
        <f>SUM(F143:J143)</f>
        <v>0</v>
      </c>
      <c r="F143" s="69"/>
      <c r="G143" s="69"/>
      <c r="H143" s="211"/>
      <c r="I143" s="69"/>
      <c r="J143" s="69"/>
      <c r="K143" s="68">
        <f>SUM(L143:R143)</f>
        <v>0</v>
      </c>
      <c r="L143" s="69"/>
      <c r="M143" s="69"/>
      <c r="N143" s="69"/>
      <c r="O143" s="69"/>
      <c r="P143" s="69"/>
      <c r="Q143" s="69"/>
      <c r="R143" s="69"/>
      <c r="S143" s="69"/>
      <c r="T143" s="68">
        <f>SUM(U143:Z143)</f>
        <v>0</v>
      </c>
      <c r="U143" s="69"/>
      <c r="V143" s="69"/>
      <c r="W143" s="69"/>
      <c r="X143" s="69"/>
      <c r="Y143" s="69"/>
      <c r="Z143" s="69"/>
    </row>
    <row r="144" spans="1:26" hidden="1">
      <c r="A144" s="67" t="s">
        <v>440</v>
      </c>
      <c r="B144" s="67">
        <v>420</v>
      </c>
      <c r="C144" s="67"/>
      <c r="D144" s="68">
        <f>E144+K144+S144+T144</f>
        <v>0</v>
      </c>
      <c r="E144" s="68">
        <f>SUM(F144:J144)</f>
        <v>0</v>
      </c>
      <c r="F144" s="69"/>
      <c r="G144" s="69"/>
      <c r="H144" s="211"/>
      <c r="I144" s="69"/>
      <c r="J144" s="69"/>
      <c r="K144" s="68">
        <f>SUM(L144:R144)</f>
        <v>0</v>
      </c>
      <c r="L144" s="69"/>
      <c r="M144" s="69"/>
      <c r="N144" s="69"/>
      <c r="O144" s="69"/>
      <c r="P144" s="69"/>
      <c r="Q144" s="69"/>
      <c r="R144" s="69"/>
      <c r="S144" s="69"/>
      <c r="T144" s="68">
        <f>SUM(U144:Z144)</f>
        <v>0</v>
      </c>
      <c r="U144" s="69"/>
      <c r="V144" s="69"/>
      <c r="W144" s="69"/>
      <c r="X144" s="69"/>
      <c r="Y144" s="69"/>
      <c r="Z144" s="69"/>
    </row>
    <row r="145" spans="1:26">
      <c r="A145" s="67" t="s">
        <v>441</v>
      </c>
      <c r="B145" s="67">
        <v>500</v>
      </c>
      <c r="C145" s="67" t="s">
        <v>340</v>
      </c>
      <c r="D145" s="68">
        <f>E145+K145+S145+T145</f>
        <v>1248578.08</v>
      </c>
      <c r="E145" s="68">
        <f>SUM(F145:J145)</f>
        <v>1086557.72</v>
      </c>
      <c r="F145" s="69">
        <v>1086557.72</v>
      </c>
      <c r="G145" s="69"/>
      <c r="H145" s="211"/>
      <c r="I145" s="69"/>
      <c r="J145" s="69"/>
      <c r="K145" s="68">
        <f>SUM(L145:R145)</f>
        <v>162020.35999999999</v>
      </c>
      <c r="L145" s="69">
        <v>161019.56</v>
      </c>
      <c r="M145" s="69"/>
      <c r="N145" s="69"/>
      <c r="O145" s="69"/>
      <c r="P145" s="69">
        <v>1000</v>
      </c>
      <c r="Q145" s="69"/>
      <c r="R145" s="69">
        <v>0.8</v>
      </c>
      <c r="S145" s="69"/>
      <c r="T145" s="68">
        <f>SUM(U145:Z145)</f>
        <v>0</v>
      </c>
      <c r="U145" s="69"/>
      <c r="V145" s="69"/>
      <c r="W145" s="69"/>
      <c r="X145" s="69"/>
      <c r="Y145" s="69"/>
      <c r="Z145" s="69"/>
    </row>
    <row r="146" spans="1:26">
      <c r="A146" s="67" t="s">
        <v>442</v>
      </c>
      <c r="B146" s="67">
        <v>600</v>
      </c>
      <c r="C146" s="67" t="s">
        <v>340</v>
      </c>
      <c r="D146" s="68">
        <f>E146+K146+S146+T146</f>
        <v>0</v>
      </c>
      <c r="E146" s="68">
        <f>SUM(F146:J146)</f>
        <v>0</v>
      </c>
      <c r="F146" s="69">
        <f>F145+F10-F53</f>
        <v>0</v>
      </c>
      <c r="G146" s="69">
        <f>G145+G10-G53</f>
        <v>0</v>
      </c>
      <c r="H146" s="211">
        <f>H145+H10-H53</f>
        <v>0</v>
      </c>
      <c r="I146" s="69">
        <f>I145+I10-I53</f>
        <v>0</v>
      </c>
      <c r="J146" s="69">
        <f>J145+J10-J53</f>
        <v>0</v>
      </c>
      <c r="K146" s="68">
        <f>SUM(L146:R146)</f>
        <v>0</v>
      </c>
      <c r="L146" s="69">
        <f>L145+L10-L53</f>
        <v>0</v>
      </c>
      <c r="M146" s="69">
        <f t="shared" ref="M146:R146" si="34">M145+M10-M53</f>
        <v>0</v>
      </c>
      <c r="N146" s="69">
        <f t="shared" si="34"/>
        <v>0</v>
      </c>
      <c r="O146" s="69">
        <f t="shared" si="34"/>
        <v>0</v>
      </c>
      <c r="P146" s="69">
        <f>P145+P10-P53</f>
        <v>0</v>
      </c>
      <c r="Q146" s="69">
        <f t="shared" si="34"/>
        <v>0</v>
      </c>
      <c r="R146" s="69">
        <f t="shared" si="34"/>
        <v>0</v>
      </c>
      <c r="S146" s="69">
        <v>0</v>
      </c>
      <c r="T146" s="68">
        <f>SUM(U146:Z146)</f>
        <v>0</v>
      </c>
      <c r="U146" s="69">
        <v>0</v>
      </c>
      <c r="V146" s="69">
        <v>0</v>
      </c>
      <c r="W146" s="69">
        <v>0</v>
      </c>
      <c r="X146" s="69">
        <v>0</v>
      </c>
      <c r="Y146" s="69">
        <f>Y145+Y10-Y53</f>
        <v>0</v>
      </c>
      <c r="Z146" s="69">
        <f>Z145+Z10-Z53</f>
        <v>0</v>
      </c>
    </row>
  </sheetData>
  <autoFilter ref="A9:Z146"/>
  <mergeCells count="12">
    <mergeCell ref="D6:D8"/>
    <mergeCell ref="E6:Z6"/>
    <mergeCell ref="E7:J7"/>
    <mergeCell ref="K7:R7"/>
    <mergeCell ref="S7:S8"/>
    <mergeCell ref="T7:Z7"/>
    <mergeCell ref="A2:J2"/>
    <mergeCell ref="A3:J3"/>
    <mergeCell ref="A5:A8"/>
    <mergeCell ref="B5:B8"/>
    <mergeCell ref="C5:C8"/>
    <mergeCell ref="D5:Z5"/>
  </mergeCells>
  <phoneticPr fontId="0" type="noConversion"/>
  <pageMargins left="0" right="0" top="0.78740157480314965" bottom="0.19685039370078741" header="0.31496062992125984" footer="0.31496062992125984"/>
  <pageSetup paperSize="9" scale="80" orientation="landscape" verticalDpi="0" r:id="rId1"/>
  <rowBreaks count="1" manualBreakCount="1"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2:AB147"/>
  <sheetViews>
    <sheetView zoomScaleNormal="100" workbookViewId="0">
      <pane xSplit="3" ySplit="9" topLeftCell="D53" activePane="bottomRight" state="frozen"/>
      <selection activeCell="D27" sqref="D27"/>
      <selection pane="topRight" activeCell="D27" sqref="D27"/>
      <selection pane="bottomLeft" activeCell="D27" sqref="D27"/>
      <selection pane="bottomRight" activeCell="D27" sqref="D27"/>
    </sheetView>
  </sheetViews>
  <sheetFormatPr defaultColWidth="9.1796875" defaultRowHeight="14.5"/>
  <cols>
    <col min="1" max="1" width="27" style="70" customWidth="1"/>
    <col min="2" max="2" width="5.81640625" style="70" customWidth="1"/>
    <col min="3" max="3" width="10.54296875" style="70" customWidth="1"/>
    <col min="4" max="4" width="11.54296875" style="70" customWidth="1"/>
    <col min="5" max="5" width="11.7265625" style="70" customWidth="1"/>
    <col min="6" max="6" width="10.54296875" style="70" hidden="1" customWidth="1"/>
    <col min="7" max="7" width="11.453125" style="70" hidden="1" customWidth="1"/>
    <col min="8" max="8" width="13.1796875" style="70" customWidth="1"/>
    <col min="9" max="9" width="11.453125" style="70" hidden="1" customWidth="1"/>
    <col min="10" max="10" width="10" style="70" customWidth="1"/>
    <col min="11" max="11" width="11.453125" style="70" customWidth="1"/>
    <col min="12" max="12" width="9.7265625" style="70" customWidth="1"/>
    <col min="13" max="13" width="7.7265625" style="70" customWidth="1"/>
    <col min="14" max="14" width="9.26953125" style="70" hidden="1" customWidth="1"/>
    <col min="15" max="15" width="11.453125" style="70" hidden="1" customWidth="1"/>
    <col min="16" max="16" width="8.453125" style="70" hidden="1" customWidth="1"/>
    <col min="17" max="17" width="10.7265625" style="70" customWidth="1"/>
    <col min="18" max="18" width="7" style="70" hidden="1" customWidth="1"/>
    <col min="19" max="19" width="11.453125" style="70" hidden="1" customWidth="1"/>
    <col min="20" max="20" width="8.81640625" style="70" customWidth="1"/>
    <col min="21" max="24" width="11.453125" style="70" hidden="1" customWidth="1"/>
    <col min="25" max="25" width="8.453125" style="70" customWidth="1"/>
    <col min="26" max="26" width="11.453125" style="70" hidden="1" customWidth="1"/>
    <col min="27" max="27" width="11.453125" style="70" customWidth="1"/>
    <col min="28" max="28" width="12.81640625" style="70" bestFit="1" customWidth="1"/>
    <col min="29" max="16384" width="9.1796875" style="70"/>
  </cols>
  <sheetData>
    <row r="2" spans="1:28" ht="15.5">
      <c r="A2" s="247" t="s">
        <v>452</v>
      </c>
      <c r="B2" s="247"/>
      <c r="C2" s="247"/>
      <c r="D2" s="247"/>
      <c r="E2" s="247"/>
      <c r="F2" s="247"/>
      <c r="G2" s="247"/>
      <c r="H2" s="247"/>
      <c r="I2" s="247"/>
      <c r="J2" s="247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8" ht="15.5">
      <c r="A3" s="247" t="s">
        <v>732</v>
      </c>
      <c r="B3" s="247"/>
      <c r="C3" s="247"/>
      <c r="D3" s="247"/>
      <c r="E3" s="247"/>
      <c r="F3" s="247"/>
      <c r="G3" s="247"/>
      <c r="H3" s="247"/>
      <c r="I3" s="247"/>
      <c r="J3" s="247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8" ht="15.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8">
      <c r="A5" s="248" t="s">
        <v>443</v>
      </c>
      <c r="B5" s="248" t="s">
        <v>444</v>
      </c>
      <c r="C5" s="248" t="s">
        <v>445</v>
      </c>
      <c r="D5" s="248" t="s">
        <v>446</v>
      </c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</row>
    <row r="6" spans="1:28">
      <c r="A6" s="248"/>
      <c r="B6" s="248"/>
      <c r="C6" s="248"/>
      <c r="D6" s="244" t="s">
        <v>447</v>
      </c>
      <c r="E6" s="248" t="s">
        <v>227</v>
      </c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</row>
    <row r="7" spans="1:28" ht="60.75" customHeight="1">
      <c r="A7" s="248"/>
      <c r="B7" s="248"/>
      <c r="C7" s="248"/>
      <c r="D7" s="249"/>
      <c r="E7" s="241" t="s">
        <v>448</v>
      </c>
      <c r="F7" s="242"/>
      <c r="G7" s="242"/>
      <c r="H7" s="242"/>
      <c r="I7" s="242"/>
      <c r="J7" s="243"/>
      <c r="K7" s="241" t="s">
        <v>449</v>
      </c>
      <c r="L7" s="242"/>
      <c r="M7" s="242"/>
      <c r="N7" s="242"/>
      <c r="O7" s="242"/>
      <c r="P7" s="242"/>
      <c r="Q7" s="242"/>
      <c r="R7" s="243"/>
      <c r="S7" s="244" t="s">
        <v>450</v>
      </c>
      <c r="T7" s="246" t="s">
        <v>451</v>
      </c>
      <c r="U7" s="246"/>
      <c r="V7" s="246"/>
      <c r="W7" s="246"/>
      <c r="X7" s="246"/>
      <c r="Y7" s="246"/>
      <c r="Z7" s="246"/>
    </row>
    <row r="8" spans="1:28" ht="192.75" customHeight="1">
      <c r="A8" s="248"/>
      <c r="B8" s="248"/>
      <c r="C8" s="248"/>
      <c r="D8" s="245"/>
      <c r="E8" s="87" t="s">
        <v>650</v>
      </c>
      <c r="F8" s="73" t="s">
        <v>651</v>
      </c>
      <c r="G8" s="73" t="s">
        <v>719</v>
      </c>
      <c r="H8" s="73" t="s">
        <v>653</v>
      </c>
      <c r="I8" s="73" t="s">
        <v>652</v>
      </c>
      <c r="J8" s="73" t="s">
        <v>705</v>
      </c>
      <c r="K8" s="87" t="s">
        <v>650</v>
      </c>
      <c r="L8" s="73" t="s">
        <v>662</v>
      </c>
      <c r="M8" s="73" t="s">
        <v>661</v>
      </c>
      <c r="N8" s="73" t="s">
        <v>663</v>
      </c>
      <c r="O8" s="73" t="s">
        <v>664</v>
      </c>
      <c r="P8" s="73" t="s">
        <v>665</v>
      </c>
      <c r="Q8" s="73" t="s">
        <v>715</v>
      </c>
      <c r="R8" s="73" t="s">
        <v>723</v>
      </c>
      <c r="S8" s="245"/>
      <c r="T8" s="88" t="s">
        <v>447</v>
      </c>
      <c r="U8" s="88" t="s">
        <v>672</v>
      </c>
      <c r="V8" s="88" t="s">
        <v>673</v>
      </c>
      <c r="W8" s="88" t="s">
        <v>674</v>
      </c>
      <c r="X8" s="88" t="s">
        <v>677</v>
      </c>
      <c r="Y8" s="88" t="s">
        <v>675</v>
      </c>
      <c r="Z8" s="88" t="s">
        <v>676</v>
      </c>
    </row>
    <row r="9" spans="1:28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11</v>
      </c>
      <c r="L9" s="74">
        <v>12</v>
      </c>
      <c r="M9" s="75">
        <v>13</v>
      </c>
      <c r="N9" s="75">
        <v>14</v>
      </c>
      <c r="O9" s="74">
        <v>15</v>
      </c>
      <c r="P9" s="75">
        <v>16</v>
      </c>
      <c r="Q9" s="75">
        <v>17</v>
      </c>
      <c r="R9" s="74">
        <v>18</v>
      </c>
      <c r="S9" s="75">
        <v>19</v>
      </c>
      <c r="T9" s="75">
        <v>20</v>
      </c>
      <c r="U9" s="75">
        <v>21</v>
      </c>
      <c r="V9" s="74">
        <v>22</v>
      </c>
      <c r="W9" s="75">
        <v>23</v>
      </c>
      <c r="X9" s="75">
        <v>24</v>
      </c>
      <c r="Y9" s="75">
        <v>25</v>
      </c>
      <c r="Z9" s="74">
        <v>26</v>
      </c>
    </row>
    <row r="10" spans="1:28">
      <c r="A10" s="67" t="s">
        <v>600</v>
      </c>
      <c r="B10" s="67">
        <v>100</v>
      </c>
      <c r="C10" s="67" t="s">
        <v>312</v>
      </c>
      <c r="D10" s="68">
        <f>E10+K10+S10+T10</f>
        <v>34476500</v>
      </c>
      <c r="E10" s="68">
        <f>SUM(F10:J10)</f>
        <v>32067000</v>
      </c>
      <c r="F10" s="68">
        <f>F17</f>
        <v>0</v>
      </c>
      <c r="G10" s="68">
        <f>G17</f>
        <v>0</v>
      </c>
      <c r="H10" s="68">
        <f>H17</f>
        <v>31877600</v>
      </c>
      <c r="I10" s="68">
        <f>I17</f>
        <v>0</v>
      </c>
      <c r="J10" s="68">
        <f>J17</f>
        <v>189400</v>
      </c>
      <c r="K10" s="68">
        <f>SUM(L10:R10)</f>
        <v>2374500</v>
      </c>
      <c r="L10" s="68">
        <f t="shared" ref="L10:R10" si="0">L30</f>
        <v>562400</v>
      </c>
      <c r="M10" s="68">
        <f t="shared" si="0"/>
        <v>1300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1810800</v>
      </c>
      <c r="R10" s="68">
        <f t="shared" si="0"/>
        <v>0</v>
      </c>
      <c r="S10" s="68"/>
      <c r="T10" s="68">
        <f>SUM(U10:Z10)</f>
        <v>35000</v>
      </c>
      <c r="U10" s="68">
        <f>U17</f>
        <v>0</v>
      </c>
      <c r="V10" s="68">
        <f>V17</f>
        <v>0</v>
      </c>
      <c r="W10" s="68">
        <f>W17</f>
        <v>0</v>
      </c>
      <c r="X10" s="68">
        <f>X17</f>
        <v>0</v>
      </c>
      <c r="Y10" s="68">
        <f>Y17+Y32</f>
        <v>35000</v>
      </c>
      <c r="Z10" s="68"/>
      <c r="AB10" s="86"/>
    </row>
    <row r="11" spans="1:28">
      <c r="A11" s="67" t="s">
        <v>313</v>
      </c>
      <c r="B11" s="67"/>
      <c r="C11" s="67"/>
      <c r="D11" s="68"/>
      <c r="E11" s="68"/>
      <c r="F11" s="69"/>
      <c r="G11" s="69"/>
      <c r="H11" s="69"/>
      <c r="I11" s="69"/>
      <c r="J11" s="69"/>
      <c r="K11" s="68"/>
      <c r="L11" s="69"/>
      <c r="M11" s="69"/>
      <c r="N11" s="69"/>
      <c r="O11" s="69"/>
      <c r="P11" s="69"/>
      <c r="Q11" s="69"/>
      <c r="R11" s="69"/>
      <c r="S11" s="69"/>
      <c r="T11" s="68"/>
      <c r="U11" s="69"/>
      <c r="V11" s="69"/>
      <c r="W11" s="69"/>
      <c r="X11" s="69"/>
      <c r="Y11" s="69"/>
      <c r="Z11" s="69"/>
    </row>
    <row r="12" spans="1:28">
      <c r="A12" s="67" t="s">
        <v>314</v>
      </c>
      <c r="B12" s="67">
        <v>110</v>
      </c>
      <c r="C12" s="67">
        <v>120</v>
      </c>
      <c r="D12" s="68">
        <f>T12</f>
        <v>0</v>
      </c>
      <c r="E12" s="68" t="s">
        <v>312</v>
      </c>
      <c r="F12" s="69" t="s">
        <v>312</v>
      </c>
      <c r="G12" s="69" t="s">
        <v>312</v>
      </c>
      <c r="H12" s="69" t="s">
        <v>312</v>
      </c>
      <c r="I12" s="69" t="s">
        <v>312</v>
      </c>
      <c r="J12" s="69" t="s">
        <v>312</v>
      </c>
      <c r="K12" s="68" t="s">
        <v>312</v>
      </c>
      <c r="L12" s="69" t="s">
        <v>312</v>
      </c>
      <c r="M12" s="69" t="s">
        <v>312</v>
      </c>
      <c r="N12" s="69" t="s">
        <v>312</v>
      </c>
      <c r="O12" s="69" t="s">
        <v>312</v>
      </c>
      <c r="P12" s="69" t="s">
        <v>312</v>
      </c>
      <c r="Q12" s="69" t="s">
        <v>312</v>
      </c>
      <c r="R12" s="69" t="s">
        <v>312</v>
      </c>
      <c r="S12" s="69" t="s">
        <v>312</v>
      </c>
      <c r="T12" s="68">
        <f>SUM(U12:Z12)</f>
        <v>0</v>
      </c>
      <c r="U12" s="69"/>
      <c r="V12" s="69"/>
      <c r="W12" s="69"/>
      <c r="X12" s="69"/>
      <c r="Y12" s="69"/>
      <c r="Z12" s="69" t="s">
        <v>312</v>
      </c>
    </row>
    <row r="13" spans="1:28" hidden="1">
      <c r="A13" s="67" t="s">
        <v>315</v>
      </c>
      <c r="B13" s="67"/>
      <c r="C13" s="67"/>
      <c r="D13" s="68"/>
      <c r="E13" s="68"/>
      <c r="F13" s="69"/>
      <c r="G13" s="69"/>
      <c r="H13" s="69"/>
      <c r="I13" s="69"/>
      <c r="J13" s="69"/>
      <c r="K13" s="68"/>
      <c r="L13" s="69"/>
      <c r="M13" s="69"/>
      <c r="N13" s="69"/>
      <c r="O13" s="69"/>
      <c r="P13" s="69"/>
      <c r="Q13" s="69"/>
      <c r="R13" s="69"/>
      <c r="S13" s="69"/>
      <c r="T13" s="68"/>
      <c r="U13" s="69"/>
      <c r="V13" s="69"/>
      <c r="W13" s="69"/>
      <c r="X13" s="69"/>
      <c r="Y13" s="69"/>
      <c r="Z13" s="69"/>
    </row>
    <row r="14" spans="1:28" hidden="1">
      <c r="A14" s="76" t="s">
        <v>316</v>
      </c>
      <c r="B14" s="76">
        <v>111</v>
      </c>
      <c r="C14" s="76">
        <v>120</v>
      </c>
      <c r="D14" s="68">
        <f>T14</f>
        <v>0</v>
      </c>
      <c r="E14" s="77" t="s">
        <v>312</v>
      </c>
      <c r="F14" s="78" t="s">
        <v>312</v>
      </c>
      <c r="G14" s="78" t="s">
        <v>312</v>
      </c>
      <c r="H14" s="78" t="s">
        <v>312</v>
      </c>
      <c r="I14" s="78" t="s">
        <v>312</v>
      </c>
      <c r="J14" s="78" t="s">
        <v>312</v>
      </c>
      <c r="K14" s="77" t="s">
        <v>312</v>
      </c>
      <c r="L14" s="78" t="s">
        <v>312</v>
      </c>
      <c r="M14" s="78" t="s">
        <v>312</v>
      </c>
      <c r="N14" s="78" t="s">
        <v>312</v>
      </c>
      <c r="O14" s="78" t="s">
        <v>312</v>
      </c>
      <c r="P14" s="78" t="s">
        <v>312</v>
      </c>
      <c r="Q14" s="78" t="s">
        <v>312</v>
      </c>
      <c r="R14" s="78" t="s">
        <v>312</v>
      </c>
      <c r="S14" s="78" t="s">
        <v>312</v>
      </c>
      <c r="T14" s="68">
        <f>SUM(U14:Z14)</f>
        <v>0</v>
      </c>
      <c r="U14" s="78"/>
      <c r="V14" s="78"/>
      <c r="W14" s="78"/>
      <c r="X14" s="78"/>
      <c r="Y14" s="78"/>
      <c r="Z14" s="78" t="s">
        <v>312</v>
      </c>
    </row>
    <row r="15" spans="1:28" ht="26" hidden="1">
      <c r="A15" s="67" t="s">
        <v>317</v>
      </c>
      <c r="B15" s="67">
        <v>112</v>
      </c>
      <c r="C15" s="67">
        <v>120</v>
      </c>
      <c r="D15" s="68">
        <f>T15</f>
        <v>0</v>
      </c>
      <c r="E15" s="68" t="s">
        <v>312</v>
      </c>
      <c r="F15" s="69" t="s">
        <v>312</v>
      </c>
      <c r="G15" s="69" t="s">
        <v>312</v>
      </c>
      <c r="H15" s="69" t="s">
        <v>312</v>
      </c>
      <c r="I15" s="69" t="s">
        <v>312</v>
      </c>
      <c r="J15" s="69" t="s">
        <v>312</v>
      </c>
      <c r="K15" s="68" t="s">
        <v>312</v>
      </c>
      <c r="L15" s="69" t="s">
        <v>312</v>
      </c>
      <c r="M15" s="69" t="s">
        <v>312</v>
      </c>
      <c r="N15" s="69" t="s">
        <v>312</v>
      </c>
      <c r="O15" s="69" t="s">
        <v>312</v>
      </c>
      <c r="P15" s="69" t="s">
        <v>312</v>
      </c>
      <c r="Q15" s="69" t="s">
        <v>312</v>
      </c>
      <c r="R15" s="69" t="s">
        <v>312</v>
      </c>
      <c r="S15" s="69" t="s">
        <v>312</v>
      </c>
      <c r="T15" s="68">
        <f>SUM(U15:Z15)</f>
        <v>0</v>
      </c>
      <c r="U15" s="69"/>
      <c r="V15" s="69"/>
      <c r="W15" s="69"/>
      <c r="X15" s="69"/>
      <c r="Y15" s="69"/>
      <c r="Z15" s="69" t="s">
        <v>312</v>
      </c>
    </row>
    <row r="16" spans="1:28">
      <c r="A16" s="67"/>
      <c r="B16" s="67"/>
      <c r="C16" s="67"/>
      <c r="D16" s="68"/>
      <c r="E16" s="68"/>
      <c r="F16" s="69"/>
      <c r="G16" s="69"/>
      <c r="H16" s="69"/>
      <c r="I16" s="69"/>
      <c r="J16" s="69"/>
      <c r="K16" s="68"/>
      <c r="L16" s="69"/>
      <c r="M16" s="69"/>
      <c r="N16" s="69"/>
      <c r="O16" s="69"/>
      <c r="P16" s="69"/>
      <c r="Q16" s="69"/>
      <c r="R16" s="69"/>
      <c r="S16" s="69"/>
      <c r="T16" s="68"/>
      <c r="U16" s="69"/>
      <c r="V16" s="69"/>
      <c r="W16" s="69"/>
      <c r="X16" s="69"/>
      <c r="Y16" s="69"/>
      <c r="Z16" s="69"/>
    </row>
    <row r="17" spans="1:26" ht="27.75" customHeight="1">
      <c r="A17" s="67" t="s">
        <v>318</v>
      </c>
      <c r="B17" s="67">
        <v>120</v>
      </c>
      <c r="C17" s="67">
        <v>130</v>
      </c>
      <c r="D17" s="68">
        <f>E17+T17</f>
        <v>32067000</v>
      </c>
      <c r="E17" s="68">
        <f>SUM(F17:J17)</f>
        <v>32067000</v>
      </c>
      <c r="F17" s="69"/>
      <c r="G17" s="69"/>
      <c r="H17" s="68">
        <f>H19+H20+H21+H22+H23+H24</f>
        <v>31877600</v>
      </c>
      <c r="I17" s="68">
        <f>I19+I20+I21+I22+I23+I24</f>
        <v>0</v>
      </c>
      <c r="J17" s="68">
        <f>J19+J20+J21+J22+J23+J24</f>
        <v>189400</v>
      </c>
      <c r="K17" s="68" t="s">
        <v>312</v>
      </c>
      <c r="L17" s="69" t="s">
        <v>312</v>
      </c>
      <c r="M17" s="69" t="s">
        <v>312</v>
      </c>
      <c r="N17" s="69" t="s">
        <v>312</v>
      </c>
      <c r="O17" s="69" t="s">
        <v>312</v>
      </c>
      <c r="P17" s="69" t="s">
        <v>312</v>
      </c>
      <c r="Q17" s="69" t="s">
        <v>312</v>
      </c>
      <c r="R17" s="69" t="s">
        <v>312</v>
      </c>
      <c r="S17" s="69" t="s">
        <v>312</v>
      </c>
      <c r="T17" s="68">
        <f>SUM(U17:Z17)</f>
        <v>0</v>
      </c>
      <c r="U17" s="68">
        <f>U20</f>
        <v>0</v>
      </c>
      <c r="V17" s="68">
        <f>V21</f>
        <v>0</v>
      </c>
      <c r="W17" s="68">
        <f>W22</f>
        <v>0</v>
      </c>
      <c r="X17" s="68"/>
      <c r="Y17" s="68">
        <f>Y28</f>
        <v>0</v>
      </c>
      <c r="Z17" s="68" t="s">
        <v>312</v>
      </c>
    </row>
    <row r="18" spans="1:26">
      <c r="A18" s="67" t="s">
        <v>315</v>
      </c>
      <c r="B18" s="67"/>
      <c r="C18" s="67"/>
      <c r="D18" s="68"/>
      <c r="E18" s="68"/>
      <c r="F18" s="69"/>
      <c r="G18" s="69"/>
      <c r="H18" s="69"/>
      <c r="I18" s="69"/>
      <c r="J18" s="69"/>
      <c r="K18" s="68"/>
      <c r="L18" s="69"/>
      <c r="M18" s="69"/>
      <c r="N18" s="69"/>
      <c r="O18" s="69"/>
      <c r="P18" s="69"/>
      <c r="Q18" s="69"/>
      <c r="R18" s="69"/>
      <c r="S18" s="69"/>
      <c r="T18" s="68"/>
      <c r="U18" s="69"/>
      <c r="V18" s="69"/>
      <c r="W18" s="69"/>
      <c r="X18" s="69"/>
      <c r="Y18" s="69"/>
      <c r="Z18" s="69"/>
    </row>
    <row r="19" spans="1:26" ht="78">
      <c r="A19" s="67" t="s">
        <v>319</v>
      </c>
      <c r="B19" s="67">
        <v>121</v>
      </c>
      <c r="C19" s="67">
        <v>130</v>
      </c>
      <c r="D19" s="68">
        <f>E19</f>
        <v>32067000</v>
      </c>
      <c r="E19" s="68">
        <f>SUM(F19:J19)</f>
        <v>32067000</v>
      </c>
      <c r="F19" s="69"/>
      <c r="G19" s="69"/>
      <c r="H19" s="69">
        <f>31877600</f>
        <v>31877600</v>
      </c>
      <c r="I19" s="69"/>
      <c r="J19" s="69">
        <v>189400</v>
      </c>
      <c r="K19" s="68" t="s">
        <v>312</v>
      </c>
      <c r="L19" s="69" t="s">
        <v>312</v>
      </c>
      <c r="M19" s="69" t="s">
        <v>312</v>
      </c>
      <c r="N19" s="69" t="s">
        <v>312</v>
      </c>
      <c r="O19" s="69" t="s">
        <v>312</v>
      </c>
      <c r="P19" s="69" t="s">
        <v>312</v>
      </c>
      <c r="Q19" s="69" t="s">
        <v>312</v>
      </c>
      <c r="R19" s="69" t="s">
        <v>312</v>
      </c>
      <c r="S19" s="69" t="s">
        <v>312</v>
      </c>
      <c r="T19" s="68"/>
      <c r="U19" s="69"/>
      <c r="V19" s="69"/>
      <c r="W19" s="69"/>
      <c r="X19" s="69"/>
      <c r="Y19" s="69"/>
      <c r="Z19" s="69" t="s">
        <v>312</v>
      </c>
    </row>
    <row r="20" spans="1:26" hidden="1">
      <c r="A20" s="67" t="s">
        <v>320</v>
      </c>
      <c r="B20" s="67">
        <v>122</v>
      </c>
      <c r="C20" s="67">
        <v>130</v>
      </c>
      <c r="D20" s="68">
        <f>T20</f>
        <v>0</v>
      </c>
      <c r="E20" s="68"/>
      <c r="F20" s="69"/>
      <c r="G20" s="69"/>
      <c r="H20" s="69"/>
      <c r="I20" s="69"/>
      <c r="J20" s="69"/>
      <c r="K20" s="68" t="s">
        <v>312</v>
      </c>
      <c r="L20" s="69" t="s">
        <v>312</v>
      </c>
      <c r="M20" s="69" t="s">
        <v>312</v>
      </c>
      <c r="N20" s="69" t="s">
        <v>312</v>
      </c>
      <c r="O20" s="69" t="s">
        <v>312</v>
      </c>
      <c r="P20" s="69" t="s">
        <v>312</v>
      </c>
      <c r="Q20" s="69" t="s">
        <v>312</v>
      </c>
      <c r="R20" s="69" t="s">
        <v>312</v>
      </c>
      <c r="S20" s="69" t="s">
        <v>312</v>
      </c>
      <c r="T20" s="68">
        <f>SUM(U20:Z20)</f>
        <v>0</v>
      </c>
      <c r="U20" s="69"/>
      <c r="V20" s="69"/>
      <c r="W20" s="69"/>
      <c r="X20" s="69"/>
      <c r="Y20" s="69"/>
      <c r="Z20" s="69" t="s">
        <v>312</v>
      </c>
    </row>
    <row r="21" spans="1:26" hidden="1">
      <c r="A21" s="67" t="s">
        <v>321</v>
      </c>
      <c r="B21" s="67">
        <v>123</v>
      </c>
      <c r="C21" s="67">
        <v>130</v>
      </c>
      <c r="D21" s="68">
        <f>E21+K21+S21+T21</f>
        <v>0</v>
      </c>
      <c r="E21" s="68"/>
      <c r="F21" s="69"/>
      <c r="G21" s="69"/>
      <c r="H21" s="69"/>
      <c r="I21" s="69"/>
      <c r="J21" s="69"/>
      <c r="K21" s="68"/>
      <c r="L21" s="69"/>
      <c r="M21" s="69"/>
      <c r="N21" s="69"/>
      <c r="O21" s="69"/>
      <c r="P21" s="69"/>
      <c r="Q21" s="69"/>
      <c r="R21" s="69"/>
      <c r="S21" s="69"/>
      <c r="T21" s="68">
        <f>SUM(U21:Z21)</f>
        <v>0</v>
      </c>
      <c r="U21" s="69"/>
      <c r="V21" s="69"/>
      <c r="W21" s="69"/>
      <c r="X21" s="69"/>
      <c r="Y21" s="69"/>
      <c r="Z21" s="69"/>
    </row>
    <row r="22" spans="1:26" hidden="1">
      <c r="A22" s="67" t="s">
        <v>322</v>
      </c>
      <c r="B22" s="67">
        <v>124</v>
      </c>
      <c r="C22" s="67">
        <v>130</v>
      </c>
      <c r="D22" s="68">
        <f>E22+K22+S22+T22</f>
        <v>0</v>
      </c>
      <c r="E22" s="68"/>
      <c r="F22" s="69"/>
      <c r="G22" s="69"/>
      <c r="H22" s="69"/>
      <c r="I22" s="69"/>
      <c r="J22" s="69"/>
      <c r="K22" s="68"/>
      <c r="L22" s="69"/>
      <c r="M22" s="69"/>
      <c r="N22" s="69"/>
      <c r="O22" s="69"/>
      <c r="P22" s="69"/>
      <c r="Q22" s="69"/>
      <c r="R22" s="69"/>
      <c r="S22" s="69"/>
      <c r="T22" s="68">
        <f>SUM(U22:Z22)</f>
        <v>0</v>
      </c>
      <c r="U22" s="69"/>
      <c r="V22" s="69"/>
      <c r="W22" s="69"/>
      <c r="X22" s="69"/>
      <c r="Y22" s="69"/>
      <c r="Z22" s="69"/>
    </row>
    <row r="23" spans="1:26" ht="26" hidden="1">
      <c r="A23" s="67" t="s">
        <v>323</v>
      </c>
      <c r="B23" s="67">
        <v>125</v>
      </c>
      <c r="C23" s="67">
        <v>130</v>
      </c>
      <c r="D23" s="68">
        <f>E23+K23+S23+T23</f>
        <v>0</v>
      </c>
      <c r="E23" s="68"/>
      <c r="F23" s="69"/>
      <c r="G23" s="69"/>
      <c r="H23" s="69"/>
      <c r="I23" s="69"/>
      <c r="J23" s="69"/>
      <c r="K23" s="68"/>
      <c r="L23" s="69"/>
      <c r="M23" s="69"/>
      <c r="N23" s="69"/>
      <c r="O23" s="69"/>
      <c r="P23" s="69"/>
      <c r="Q23" s="69"/>
      <c r="R23" s="69"/>
      <c r="S23" s="69"/>
      <c r="T23" s="68">
        <f>SUM(U23:Z23)</f>
        <v>0</v>
      </c>
      <c r="U23" s="69"/>
      <c r="V23" s="69"/>
      <c r="W23" s="69"/>
      <c r="X23" s="69"/>
      <c r="Y23" s="69"/>
      <c r="Z23" s="69"/>
    </row>
    <row r="24" spans="1:26" ht="26" hidden="1">
      <c r="A24" s="67" t="s">
        <v>324</v>
      </c>
      <c r="B24" s="67">
        <v>126</v>
      </c>
      <c r="C24" s="67">
        <v>130</v>
      </c>
      <c r="D24" s="68">
        <f>E24+K24+S24+T24</f>
        <v>0</v>
      </c>
      <c r="E24" s="68"/>
      <c r="F24" s="69"/>
      <c r="G24" s="69"/>
      <c r="H24" s="69"/>
      <c r="I24" s="69"/>
      <c r="J24" s="69"/>
      <c r="K24" s="68"/>
      <c r="L24" s="69"/>
      <c r="M24" s="69"/>
      <c r="N24" s="69"/>
      <c r="O24" s="69"/>
      <c r="P24" s="69"/>
      <c r="Q24" s="69"/>
      <c r="R24" s="69"/>
      <c r="S24" s="69"/>
      <c r="T24" s="68">
        <f>SUM(U24:Z24)</f>
        <v>0</v>
      </c>
      <c r="U24" s="69"/>
      <c r="V24" s="69"/>
      <c r="W24" s="69"/>
      <c r="X24" s="69"/>
      <c r="Y24" s="69"/>
      <c r="Z24" s="69"/>
    </row>
    <row r="25" spans="1:26" hidden="1">
      <c r="A25" s="67"/>
      <c r="B25" s="67"/>
      <c r="C25" s="67"/>
      <c r="D25" s="68"/>
      <c r="E25" s="68"/>
      <c r="F25" s="69"/>
      <c r="G25" s="69"/>
      <c r="H25" s="69"/>
      <c r="I25" s="69"/>
      <c r="J25" s="69"/>
      <c r="K25" s="68"/>
      <c r="L25" s="69"/>
      <c r="M25" s="69"/>
      <c r="N25" s="69"/>
      <c r="O25" s="69"/>
      <c r="P25" s="69"/>
      <c r="Q25" s="69"/>
      <c r="R25" s="69"/>
      <c r="S25" s="69"/>
      <c r="T25" s="68"/>
      <c r="U25" s="69"/>
      <c r="V25" s="69"/>
      <c r="W25" s="69"/>
      <c r="X25" s="69"/>
      <c r="Y25" s="69"/>
      <c r="Z25" s="69"/>
    </row>
    <row r="26" spans="1:26" ht="26" hidden="1">
      <c r="A26" s="67" t="s">
        <v>325</v>
      </c>
      <c r="B26" s="67">
        <v>130</v>
      </c>
      <c r="C26" s="67">
        <v>140</v>
      </c>
      <c r="D26" s="68">
        <f>T26</f>
        <v>0</v>
      </c>
      <c r="E26" s="68" t="s">
        <v>312</v>
      </c>
      <c r="F26" s="69" t="s">
        <v>312</v>
      </c>
      <c r="G26" s="69" t="s">
        <v>312</v>
      </c>
      <c r="H26" s="69" t="s">
        <v>312</v>
      </c>
      <c r="I26" s="69" t="s">
        <v>312</v>
      </c>
      <c r="J26" s="69" t="s">
        <v>312</v>
      </c>
      <c r="K26" s="68" t="s">
        <v>312</v>
      </c>
      <c r="L26" s="69" t="s">
        <v>312</v>
      </c>
      <c r="M26" s="69" t="s">
        <v>312</v>
      </c>
      <c r="N26" s="69" t="s">
        <v>312</v>
      </c>
      <c r="O26" s="69" t="s">
        <v>312</v>
      </c>
      <c r="P26" s="69" t="s">
        <v>312</v>
      </c>
      <c r="Q26" s="69" t="s">
        <v>312</v>
      </c>
      <c r="R26" s="69" t="s">
        <v>312</v>
      </c>
      <c r="S26" s="69" t="s">
        <v>312</v>
      </c>
      <c r="T26" s="68">
        <f>SUM(U26:Z26)</f>
        <v>0</v>
      </c>
      <c r="U26" s="69"/>
      <c r="V26" s="69"/>
      <c r="W26" s="69"/>
      <c r="X26" s="69"/>
      <c r="Y26" s="69"/>
      <c r="Z26" s="69" t="s">
        <v>312</v>
      </c>
    </row>
    <row r="27" spans="1:26" hidden="1">
      <c r="A27" s="67"/>
      <c r="B27" s="67"/>
      <c r="C27" s="67"/>
      <c r="D27" s="68"/>
      <c r="E27" s="68"/>
      <c r="F27" s="69"/>
      <c r="G27" s="69"/>
      <c r="H27" s="69"/>
      <c r="I27" s="69"/>
      <c r="J27" s="69"/>
      <c r="K27" s="68"/>
      <c r="L27" s="69"/>
      <c r="M27" s="69"/>
      <c r="N27" s="69"/>
      <c r="O27" s="69"/>
      <c r="P27" s="69"/>
      <c r="Q27" s="69"/>
      <c r="R27" s="69"/>
      <c r="S27" s="69"/>
      <c r="T27" s="68"/>
      <c r="U27" s="69"/>
      <c r="V27" s="69"/>
      <c r="W27" s="69"/>
      <c r="X27" s="69"/>
      <c r="Y27" s="69"/>
      <c r="Z27" s="69"/>
    </row>
    <row r="28" spans="1:26" ht="65" hidden="1">
      <c r="A28" s="67" t="s">
        <v>326</v>
      </c>
      <c r="B28" s="67">
        <v>140</v>
      </c>
      <c r="C28" s="67">
        <v>150</v>
      </c>
      <c r="D28" s="68">
        <f>T28</f>
        <v>0</v>
      </c>
      <c r="E28" s="68" t="s">
        <v>312</v>
      </c>
      <c r="F28" s="69" t="s">
        <v>312</v>
      </c>
      <c r="G28" s="69" t="s">
        <v>312</v>
      </c>
      <c r="H28" s="69" t="s">
        <v>312</v>
      </c>
      <c r="I28" s="69" t="s">
        <v>312</v>
      </c>
      <c r="J28" s="69" t="s">
        <v>312</v>
      </c>
      <c r="K28" s="68" t="s">
        <v>312</v>
      </c>
      <c r="L28" s="69" t="s">
        <v>312</v>
      </c>
      <c r="M28" s="69" t="s">
        <v>312</v>
      </c>
      <c r="N28" s="69" t="s">
        <v>312</v>
      </c>
      <c r="O28" s="69" t="s">
        <v>312</v>
      </c>
      <c r="P28" s="69" t="s">
        <v>312</v>
      </c>
      <c r="Q28" s="69" t="s">
        <v>312</v>
      </c>
      <c r="R28" s="69" t="s">
        <v>312</v>
      </c>
      <c r="S28" s="69" t="s">
        <v>312</v>
      </c>
      <c r="T28" s="68">
        <f>SUM(U28:Z28)</f>
        <v>0</v>
      </c>
      <c r="U28" s="69"/>
      <c r="V28" s="69"/>
      <c r="W28" s="69"/>
      <c r="X28" s="69"/>
      <c r="Y28" s="69"/>
      <c r="Z28" s="69" t="s">
        <v>312</v>
      </c>
    </row>
    <row r="29" spans="1:26">
      <c r="A29" s="67"/>
      <c r="B29" s="67"/>
      <c r="C29" s="67"/>
      <c r="D29" s="68"/>
      <c r="E29" s="68"/>
      <c r="F29" s="69"/>
      <c r="G29" s="69"/>
      <c r="H29" s="69"/>
      <c r="I29" s="69"/>
      <c r="J29" s="69"/>
      <c r="K29" s="68"/>
      <c r="L29" s="69"/>
      <c r="M29" s="69"/>
      <c r="N29" s="69"/>
      <c r="O29" s="69"/>
      <c r="P29" s="69"/>
      <c r="Q29" s="69"/>
      <c r="R29" s="69"/>
      <c r="S29" s="69"/>
      <c r="T29" s="68"/>
      <c r="U29" s="69"/>
      <c r="V29" s="69"/>
      <c r="W29" s="69"/>
      <c r="X29" s="69"/>
      <c r="Y29" s="69"/>
      <c r="Z29" s="69"/>
    </row>
    <row r="30" spans="1:26" ht="26">
      <c r="A30" s="67" t="s">
        <v>327</v>
      </c>
      <c r="B30" s="67">
        <v>150</v>
      </c>
      <c r="C30" s="67">
        <v>180</v>
      </c>
      <c r="D30" s="68">
        <f>K30+S30</f>
        <v>2374500</v>
      </c>
      <c r="E30" s="68" t="s">
        <v>312</v>
      </c>
      <c r="F30" s="69" t="s">
        <v>312</v>
      </c>
      <c r="G30" s="69" t="s">
        <v>312</v>
      </c>
      <c r="H30" s="69" t="s">
        <v>312</v>
      </c>
      <c r="I30" s="69" t="s">
        <v>312</v>
      </c>
      <c r="J30" s="69" t="s">
        <v>312</v>
      </c>
      <c r="K30" s="68">
        <f>SUM(L30:R30)</f>
        <v>2374500</v>
      </c>
      <c r="L30" s="69">
        <v>562400</v>
      </c>
      <c r="M30" s="69">
        <v>1300</v>
      </c>
      <c r="N30" s="69"/>
      <c r="O30" s="69"/>
      <c r="P30" s="69"/>
      <c r="Q30" s="69">
        <v>1810800</v>
      </c>
      <c r="R30" s="69"/>
      <c r="S30" s="69"/>
      <c r="T30" s="68" t="s">
        <v>312</v>
      </c>
      <c r="U30" s="69" t="s">
        <v>312</v>
      </c>
      <c r="V30" s="69" t="s">
        <v>312</v>
      </c>
      <c r="W30" s="69" t="s">
        <v>312</v>
      </c>
      <c r="X30" s="69" t="s">
        <v>312</v>
      </c>
      <c r="Y30" s="69" t="s">
        <v>312</v>
      </c>
      <c r="Z30" s="69" t="s">
        <v>312</v>
      </c>
    </row>
    <row r="31" spans="1:26">
      <c r="A31" s="67"/>
      <c r="B31" s="67"/>
      <c r="C31" s="67"/>
      <c r="D31" s="68"/>
      <c r="E31" s="68"/>
      <c r="F31" s="69"/>
      <c r="G31" s="69"/>
      <c r="H31" s="69"/>
      <c r="I31" s="69"/>
      <c r="J31" s="69"/>
      <c r="K31" s="68"/>
      <c r="L31" s="69"/>
      <c r="M31" s="69"/>
      <c r="N31" s="69"/>
      <c r="O31" s="69"/>
      <c r="P31" s="69"/>
      <c r="Q31" s="69"/>
      <c r="R31" s="69"/>
      <c r="S31" s="69"/>
      <c r="T31" s="68"/>
      <c r="U31" s="69"/>
      <c r="V31" s="69"/>
      <c r="W31" s="69"/>
      <c r="X31" s="69"/>
      <c r="Y31" s="69"/>
      <c r="Z31" s="69"/>
    </row>
    <row r="32" spans="1:26">
      <c r="A32" s="79" t="s">
        <v>328</v>
      </c>
      <c r="B32" s="67">
        <v>160</v>
      </c>
      <c r="C32" s="67"/>
      <c r="D32" s="68">
        <f>T32</f>
        <v>35000</v>
      </c>
      <c r="E32" s="68" t="s">
        <v>312</v>
      </c>
      <c r="F32" s="69" t="s">
        <v>312</v>
      </c>
      <c r="G32" s="69" t="s">
        <v>312</v>
      </c>
      <c r="H32" s="69" t="s">
        <v>312</v>
      </c>
      <c r="I32" s="69" t="s">
        <v>312</v>
      </c>
      <c r="J32" s="69" t="s">
        <v>312</v>
      </c>
      <c r="K32" s="68" t="s">
        <v>312</v>
      </c>
      <c r="L32" s="69" t="s">
        <v>312</v>
      </c>
      <c r="M32" s="69" t="s">
        <v>312</v>
      </c>
      <c r="N32" s="69" t="s">
        <v>312</v>
      </c>
      <c r="O32" s="69" t="s">
        <v>312</v>
      </c>
      <c r="P32" s="69" t="s">
        <v>312</v>
      </c>
      <c r="Q32" s="69" t="s">
        <v>312</v>
      </c>
      <c r="R32" s="69" t="s">
        <v>312</v>
      </c>
      <c r="S32" s="69" t="s">
        <v>312</v>
      </c>
      <c r="T32" s="68">
        <f>SUM(U32:Z32)</f>
        <v>35000</v>
      </c>
      <c r="U32" s="69"/>
      <c r="V32" s="69"/>
      <c r="W32" s="69"/>
      <c r="X32" s="69"/>
      <c r="Y32" s="69">
        <f>Y34</f>
        <v>35000</v>
      </c>
      <c r="Z32" s="69" t="s">
        <v>312</v>
      </c>
    </row>
    <row r="33" spans="1:26">
      <c r="A33" s="67" t="s">
        <v>227</v>
      </c>
      <c r="B33" s="67"/>
      <c r="C33" s="67"/>
      <c r="D33" s="68"/>
      <c r="E33" s="68"/>
      <c r="F33" s="69"/>
      <c r="G33" s="69"/>
      <c r="H33" s="69"/>
      <c r="I33" s="69"/>
      <c r="J33" s="69"/>
      <c r="K33" s="68"/>
      <c r="L33" s="69"/>
      <c r="M33" s="69"/>
      <c r="N33" s="69"/>
      <c r="O33" s="69"/>
      <c r="P33" s="69"/>
      <c r="Q33" s="69"/>
      <c r="R33" s="69"/>
      <c r="S33" s="69"/>
      <c r="T33" s="68"/>
      <c r="U33" s="69"/>
      <c r="V33" s="69"/>
      <c r="W33" s="69"/>
      <c r="X33" s="69"/>
      <c r="Y33" s="69"/>
      <c r="Z33" s="69"/>
    </row>
    <row r="34" spans="1:26" ht="39">
      <c r="A34" s="67" t="s">
        <v>657</v>
      </c>
      <c r="B34" s="67">
        <v>160.1</v>
      </c>
      <c r="C34" s="67">
        <v>180</v>
      </c>
      <c r="D34" s="68">
        <f t="shared" ref="D34:D39" si="1">E34+K34+S34+T34</f>
        <v>35000</v>
      </c>
      <c r="E34" s="68"/>
      <c r="F34" s="69"/>
      <c r="G34" s="69"/>
      <c r="H34" s="69"/>
      <c r="I34" s="69"/>
      <c r="J34" s="69"/>
      <c r="K34" s="68"/>
      <c r="L34" s="69"/>
      <c r="M34" s="69"/>
      <c r="N34" s="69"/>
      <c r="O34" s="69"/>
      <c r="P34" s="69"/>
      <c r="Q34" s="69"/>
      <c r="R34" s="69"/>
      <c r="S34" s="69"/>
      <c r="T34" s="68">
        <f>SUM(U34:Z34)</f>
        <v>35000</v>
      </c>
      <c r="U34" s="69"/>
      <c r="V34" s="69"/>
      <c r="W34" s="69"/>
      <c r="X34" s="69"/>
      <c r="Y34" s="69">
        <v>35000</v>
      </c>
      <c r="Z34" s="69"/>
    </row>
    <row r="35" spans="1:26" ht="26" hidden="1">
      <c r="A35" s="67" t="s">
        <v>658</v>
      </c>
      <c r="B35" s="67">
        <v>160.19999999999999</v>
      </c>
      <c r="C35" s="67">
        <v>180</v>
      </c>
      <c r="D35" s="68">
        <f t="shared" si="1"/>
        <v>0</v>
      </c>
      <c r="E35" s="68"/>
      <c r="F35" s="69"/>
      <c r="G35" s="69"/>
      <c r="H35" s="69"/>
      <c r="I35" s="69"/>
      <c r="J35" s="69"/>
      <c r="K35" s="68"/>
      <c r="L35" s="69"/>
      <c r="M35" s="69"/>
      <c r="N35" s="69"/>
      <c r="O35" s="69"/>
      <c r="P35" s="69"/>
      <c r="Q35" s="69"/>
      <c r="R35" s="69"/>
      <c r="S35" s="69"/>
      <c r="T35" s="68">
        <f>SUM(U35:Z35)</f>
        <v>0</v>
      </c>
      <c r="U35" s="69"/>
      <c r="V35" s="69"/>
      <c r="W35" s="69"/>
      <c r="X35" s="69"/>
      <c r="Y35" s="69"/>
      <c r="Z35" s="69"/>
    </row>
    <row r="36" spans="1:26" hidden="1">
      <c r="A36" s="67" t="s">
        <v>329</v>
      </c>
      <c r="B36" s="67" t="s">
        <v>330</v>
      </c>
      <c r="C36" s="67"/>
      <c r="D36" s="68">
        <f t="shared" si="1"/>
        <v>0</v>
      </c>
      <c r="E36" s="68"/>
      <c r="F36" s="69"/>
      <c r="G36" s="69"/>
      <c r="H36" s="69"/>
      <c r="I36" s="69"/>
      <c r="J36" s="69"/>
      <c r="K36" s="68"/>
      <c r="L36" s="69"/>
      <c r="M36" s="69"/>
      <c r="N36" s="69"/>
      <c r="O36" s="69"/>
      <c r="P36" s="69"/>
      <c r="Q36" s="69"/>
      <c r="R36" s="69"/>
      <c r="S36" s="69"/>
      <c r="T36" s="68"/>
      <c r="U36" s="69"/>
      <c r="V36" s="69"/>
      <c r="W36" s="69"/>
      <c r="X36" s="69"/>
      <c r="Y36" s="69"/>
      <c r="Z36" s="69"/>
    </row>
    <row r="37" spans="1:26" hidden="1">
      <c r="A37" s="67"/>
      <c r="B37" s="67"/>
      <c r="C37" s="67"/>
      <c r="D37" s="68">
        <f t="shared" si="1"/>
        <v>0</v>
      </c>
      <c r="E37" s="68"/>
      <c r="F37" s="69"/>
      <c r="G37" s="69"/>
      <c r="H37" s="69"/>
      <c r="I37" s="69"/>
      <c r="J37" s="69"/>
      <c r="K37" s="68"/>
      <c r="L37" s="69"/>
      <c r="M37" s="69"/>
      <c r="N37" s="69"/>
      <c r="O37" s="69"/>
      <c r="P37" s="69"/>
      <c r="Q37" s="69"/>
      <c r="R37" s="69"/>
      <c r="S37" s="69"/>
      <c r="T37" s="68"/>
      <c r="U37" s="69"/>
      <c r="V37" s="69"/>
      <c r="W37" s="69"/>
      <c r="X37" s="69"/>
      <c r="Y37" s="69"/>
      <c r="Z37" s="69"/>
    </row>
    <row r="38" spans="1:26" hidden="1">
      <c r="A38" s="67"/>
      <c r="B38" s="67"/>
      <c r="C38" s="67"/>
      <c r="D38" s="68">
        <f t="shared" si="1"/>
        <v>0</v>
      </c>
      <c r="E38" s="68"/>
      <c r="F38" s="69"/>
      <c r="G38" s="69"/>
      <c r="H38" s="69"/>
      <c r="I38" s="69"/>
      <c r="J38" s="69"/>
      <c r="K38" s="68"/>
      <c r="L38" s="69"/>
      <c r="M38" s="69"/>
      <c r="N38" s="69"/>
      <c r="O38" s="69"/>
      <c r="P38" s="69"/>
      <c r="Q38" s="69"/>
      <c r="R38" s="69"/>
      <c r="S38" s="69"/>
      <c r="T38" s="68"/>
      <c r="U38" s="69"/>
      <c r="V38" s="69"/>
      <c r="W38" s="69"/>
      <c r="X38" s="69"/>
      <c r="Y38" s="69"/>
      <c r="Z38" s="69"/>
    </row>
    <row r="39" spans="1:26" ht="26" hidden="1">
      <c r="A39" s="67" t="s">
        <v>331</v>
      </c>
      <c r="B39" s="67">
        <v>180</v>
      </c>
      <c r="C39" s="67" t="s">
        <v>312</v>
      </c>
      <c r="D39" s="68">
        <f t="shared" si="1"/>
        <v>0</v>
      </c>
      <c r="E39" s="68"/>
      <c r="F39" s="69"/>
      <c r="G39" s="69"/>
      <c r="H39" s="69"/>
      <c r="I39" s="69"/>
      <c r="J39" s="69"/>
      <c r="K39" s="68"/>
      <c r="L39" s="69"/>
      <c r="M39" s="69"/>
      <c r="N39" s="69"/>
      <c r="O39" s="69"/>
      <c r="P39" s="69"/>
      <c r="Q39" s="69"/>
      <c r="R39" s="69"/>
      <c r="S39" s="69"/>
      <c r="T39" s="68">
        <f>SUM(U39:Z39)</f>
        <v>0</v>
      </c>
      <c r="U39" s="69"/>
      <c r="V39" s="69"/>
      <c r="W39" s="69"/>
      <c r="X39" s="69"/>
      <c r="Y39" s="69"/>
      <c r="Z39" s="69"/>
    </row>
    <row r="40" spans="1:26" hidden="1">
      <c r="A40" s="67" t="s">
        <v>227</v>
      </c>
      <c r="B40" s="67"/>
      <c r="C40" s="67"/>
      <c r="D40" s="68"/>
      <c r="E40" s="68"/>
      <c r="F40" s="69"/>
      <c r="G40" s="69"/>
      <c r="H40" s="69"/>
      <c r="I40" s="69"/>
      <c r="J40" s="69"/>
      <c r="K40" s="68"/>
      <c r="L40" s="69"/>
      <c r="M40" s="69"/>
      <c r="N40" s="69"/>
      <c r="O40" s="69"/>
      <c r="P40" s="69"/>
      <c r="Q40" s="69"/>
      <c r="R40" s="69"/>
      <c r="S40" s="69"/>
      <c r="T40" s="68"/>
      <c r="U40" s="69"/>
      <c r="V40" s="69"/>
      <c r="W40" s="69"/>
      <c r="X40" s="69"/>
      <c r="Y40" s="69"/>
      <c r="Z40" s="69"/>
    </row>
    <row r="41" spans="1:26" ht="26" hidden="1">
      <c r="A41" s="67" t="s">
        <v>332</v>
      </c>
      <c r="B41" s="67">
        <v>181</v>
      </c>
      <c r="C41" s="67">
        <v>400</v>
      </c>
      <c r="D41" s="68">
        <f>T41</f>
        <v>0</v>
      </c>
      <c r="E41" s="68" t="s">
        <v>312</v>
      </c>
      <c r="F41" s="69" t="s">
        <v>312</v>
      </c>
      <c r="G41" s="69" t="s">
        <v>312</v>
      </c>
      <c r="H41" s="69" t="s">
        <v>312</v>
      </c>
      <c r="I41" s="69" t="s">
        <v>312</v>
      </c>
      <c r="J41" s="69" t="s">
        <v>312</v>
      </c>
      <c r="K41" s="68" t="s">
        <v>312</v>
      </c>
      <c r="L41" s="69" t="s">
        <v>312</v>
      </c>
      <c r="M41" s="69" t="s">
        <v>312</v>
      </c>
      <c r="N41" s="69" t="s">
        <v>312</v>
      </c>
      <c r="O41" s="69" t="s">
        <v>312</v>
      </c>
      <c r="P41" s="69" t="s">
        <v>312</v>
      </c>
      <c r="Q41" s="69" t="s">
        <v>312</v>
      </c>
      <c r="R41" s="69" t="s">
        <v>312</v>
      </c>
      <c r="S41" s="69" t="s">
        <v>312</v>
      </c>
      <c r="T41" s="68">
        <f>SUM(U41:Z41)</f>
        <v>0</v>
      </c>
      <c r="U41" s="69"/>
      <c r="V41" s="69"/>
      <c r="W41" s="69"/>
      <c r="X41" s="69"/>
      <c r="Y41" s="69"/>
      <c r="Z41" s="69" t="s">
        <v>312</v>
      </c>
    </row>
    <row r="42" spans="1:26" hidden="1">
      <c r="A42" s="67" t="s">
        <v>225</v>
      </c>
      <c r="B42" s="67"/>
      <c r="C42" s="67"/>
      <c r="D42" s="68"/>
      <c r="E42" s="68"/>
      <c r="F42" s="69"/>
      <c r="G42" s="69"/>
      <c r="H42" s="69"/>
      <c r="I42" s="69"/>
      <c r="J42" s="69"/>
      <c r="K42" s="68"/>
      <c r="L42" s="69"/>
      <c r="M42" s="69"/>
      <c r="N42" s="69"/>
      <c r="O42" s="69"/>
      <c r="P42" s="69"/>
      <c r="Q42" s="69"/>
      <c r="R42" s="69"/>
      <c r="S42" s="69"/>
      <c r="T42" s="68"/>
      <c r="U42" s="69"/>
      <c r="V42" s="69"/>
      <c r="W42" s="69"/>
      <c r="X42" s="69"/>
      <c r="Y42" s="69"/>
      <c r="Z42" s="69"/>
    </row>
    <row r="43" spans="1:26" hidden="1">
      <c r="A43" s="67" t="s">
        <v>333</v>
      </c>
      <c r="B43" s="67">
        <v>181.1</v>
      </c>
      <c r="C43" s="67">
        <v>410</v>
      </c>
      <c r="D43" s="68">
        <f>T43</f>
        <v>0</v>
      </c>
      <c r="E43" s="68" t="s">
        <v>312</v>
      </c>
      <c r="F43" s="69" t="s">
        <v>312</v>
      </c>
      <c r="G43" s="69" t="s">
        <v>312</v>
      </c>
      <c r="H43" s="69" t="s">
        <v>312</v>
      </c>
      <c r="I43" s="69" t="s">
        <v>312</v>
      </c>
      <c r="J43" s="69" t="s">
        <v>312</v>
      </c>
      <c r="K43" s="68" t="s">
        <v>312</v>
      </c>
      <c r="L43" s="69" t="s">
        <v>312</v>
      </c>
      <c r="M43" s="69" t="s">
        <v>312</v>
      </c>
      <c r="N43" s="69" t="s">
        <v>312</v>
      </c>
      <c r="O43" s="69" t="s">
        <v>312</v>
      </c>
      <c r="P43" s="69" t="s">
        <v>312</v>
      </c>
      <c r="Q43" s="69" t="s">
        <v>312</v>
      </c>
      <c r="R43" s="69" t="s">
        <v>312</v>
      </c>
      <c r="S43" s="69" t="s">
        <v>312</v>
      </c>
      <c r="T43" s="68">
        <f>SUM(U43:Z43)</f>
        <v>0</v>
      </c>
      <c r="U43" s="69"/>
      <c r="V43" s="69"/>
      <c r="W43" s="69"/>
      <c r="X43" s="69"/>
      <c r="Y43" s="69"/>
      <c r="Z43" s="69" t="s">
        <v>312</v>
      </c>
    </row>
    <row r="44" spans="1:26" ht="26" hidden="1">
      <c r="A44" s="67" t="s">
        <v>334</v>
      </c>
      <c r="B44" s="67">
        <v>181.2</v>
      </c>
      <c r="C44" s="67">
        <v>420</v>
      </c>
      <c r="D44" s="68">
        <f>T44</f>
        <v>0</v>
      </c>
      <c r="E44" s="68" t="s">
        <v>312</v>
      </c>
      <c r="F44" s="69" t="s">
        <v>312</v>
      </c>
      <c r="G44" s="69" t="s">
        <v>312</v>
      </c>
      <c r="H44" s="69" t="s">
        <v>312</v>
      </c>
      <c r="I44" s="69" t="s">
        <v>312</v>
      </c>
      <c r="J44" s="69" t="s">
        <v>312</v>
      </c>
      <c r="K44" s="68" t="s">
        <v>312</v>
      </c>
      <c r="L44" s="69" t="s">
        <v>312</v>
      </c>
      <c r="M44" s="69" t="s">
        <v>312</v>
      </c>
      <c r="N44" s="69" t="s">
        <v>312</v>
      </c>
      <c r="O44" s="69" t="s">
        <v>312</v>
      </c>
      <c r="P44" s="69" t="s">
        <v>312</v>
      </c>
      <c r="Q44" s="69" t="s">
        <v>312</v>
      </c>
      <c r="R44" s="69" t="s">
        <v>312</v>
      </c>
      <c r="S44" s="69" t="s">
        <v>312</v>
      </c>
      <c r="T44" s="68">
        <f>SUM(U44:Z44)</f>
        <v>0</v>
      </c>
      <c r="U44" s="69"/>
      <c r="V44" s="69"/>
      <c r="W44" s="69"/>
      <c r="X44" s="69"/>
      <c r="Y44" s="69"/>
      <c r="Z44" s="69" t="s">
        <v>312</v>
      </c>
    </row>
    <row r="45" spans="1:26" ht="26" hidden="1">
      <c r="A45" s="67" t="s">
        <v>335</v>
      </c>
      <c r="B45" s="67">
        <v>181.3</v>
      </c>
      <c r="C45" s="67">
        <v>430</v>
      </c>
      <c r="D45" s="68">
        <f>E45+K45+S45+T45</f>
        <v>0</v>
      </c>
      <c r="E45" s="68"/>
      <c r="F45" s="69"/>
      <c r="G45" s="69"/>
      <c r="H45" s="69"/>
      <c r="I45" s="69"/>
      <c r="J45" s="69"/>
      <c r="K45" s="68"/>
      <c r="L45" s="69"/>
      <c r="M45" s="69"/>
      <c r="N45" s="69"/>
      <c r="O45" s="69"/>
      <c r="P45" s="69"/>
      <c r="Q45" s="69"/>
      <c r="R45" s="69"/>
      <c r="S45" s="69"/>
      <c r="T45" s="68">
        <f>SUM(U45:Z45)</f>
        <v>0</v>
      </c>
      <c r="U45" s="69"/>
      <c r="V45" s="69"/>
      <c r="W45" s="69"/>
      <c r="X45" s="69"/>
      <c r="Y45" s="69"/>
      <c r="Z45" s="69"/>
    </row>
    <row r="46" spans="1:26" ht="26" hidden="1">
      <c r="A46" s="67" t="s">
        <v>336</v>
      </c>
      <c r="B46" s="67">
        <v>181.4</v>
      </c>
      <c r="C46" s="67">
        <v>440</v>
      </c>
      <c r="D46" s="68">
        <f>E46+K46+S46+T46</f>
        <v>0</v>
      </c>
      <c r="E46" s="68"/>
      <c r="F46" s="69"/>
      <c r="G46" s="69"/>
      <c r="H46" s="69"/>
      <c r="I46" s="69"/>
      <c r="J46" s="69"/>
      <c r="K46" s="68"/>
      <c r="L46" s="69"/>
      <c r="M46" s="69"/>
      <c r="N46" s="69"/>
      <c r="O46" s="69"/>
      <c r="P46" s="69"/>
      <c r="Q46" s="69"/>
      <c r="R46" s="69"/>
      <c r="S46" s="69"/>
      <c r="T46" s="68">
        <f>SUM(U46:Z46)</f>
        <v>0</v>
      </c>
      <c r="U46" s="69"/>
      <c r="V46" s="69"/>
      <c r="W46" s="69"/>
      <c r="X46" s="69"/>
      <c r="Y46" s="69"/>
      <c r="Z46" s="69"/>
    </row>
    <row r="47" spans="1:26" ht="26" hidden="1">
      <c r="A47" s="67" t="s">
        <v>337</v>
      </c>
      <c r="B47" s="67">
        <v>182</v>
      </c>
      <c r="C47" s="67">
        <v>600</v>
      </c>
      <c r="D47" s="68">
        <f>E47+K47+S47+T47</f>
        <v>0</v>
      </c>
      <c r="E47" s="68"/>
      <c r="F47" s="69"/>
      <c r="G47" s="69"/>
      <c r="H47" s="69"/>
      <c r="I47" s="69"/>
      <c r="J47" s="69"/>
      <c r="K47" s="68"/>
      <c r="L47" s="69"/>
      <c r="M47" s="69"/>
      <c r="N47" s="69"/>
      <c r="O47" s="69"/>
      <c r="P47" s="69"/>
      <c r="Q47" s="69"/>
      <c r="R47" s="69"/>
      <c r="S47" s="69"/>
      <c r="T47" s="68">
        <f>SUM(U47:Z47)</f>
        <v>0</v>
      </c>
      <c r="U47" s="69"/>
      <c r="V47" s="69"/>
      <c r="W47" s="69"/>
      <c r="X47" s="69"/>
      <c r="Y47" s="69"/>
      <c r="Z47" s="69"/>
    </row>
    <row r="48" spans="1:26" hidden="1">
      <c r="A48" s="67" t="s">
        <v>225</v>
      </c>
      <c r="B48" s="67"/>
      <c r="C48" s="67"/>
      <c r="D48" s="68"/>
      <c r="E48" s="68"/>
      <c r="F48" s="69"/>
      <c r="G48" s="69"/>
      <c r="H48" s="69"/>
      <c r="I48" s="69"/>
      <c r="J48" s="69"/>
      <c r="K48" s="68"/>
      <c r="L48" s="69"/>
      <c r="M48" s="69"/>
      <c r="N48" s="69"/>
      <c r="O48" s="69"/>
      <c r="P48" s="69"/>
      <c r="Q48" s="69"/>
      <c r="R48" s="69"/>
      <c r="S48" s="69"/>
      <c r="T48" s="68"/>
      <c r="U48" s="69"/>
      <c r="V48" s="69"/>
      <c r="W48" s="69"/>
      <c r="X48" s="69"/>
      <c r="Y48" s="69"/>
      <c r="Z48" s="69"/>
    </row>
    <row r="49" spans="1:27" hidden="1">
      <c r="A49" s="67" t="s">
        <v>338</v>
      </c>
      <c r="B49" s="67"/>
      <c r="C49" s="67"/>
      <c r="D49" s="68">
        <f>E49+K49+S49+T49</f>
        <v>0</v>
      </c>
      <c r="E49" s="68"/>
      <c r="F49" s="69"/>
      <c r="G49" s="69"/>
      <c r="H49" s="69"/>
      <c r="I49" s="69"/>
      <c r="J49" s="69"/>
      <c r="K49" s="68"/>
      <c r="L49" s="69"/>
      <c r="M49" s="69"/>
      <c r="N49" s="69"/>
      <c r="O49" s="69"/>
      <c r="P49" s="69"/>
      <c r="Q49" s="69"/>
      <c r="R49" s="69"/>
      <c r="S49" s="69"/>
      <c r="T49" s="68">
        <f>SUM(U49:Z49)</f>
        <v>0</v>
      </c>
      <c r="U49" s="69"/>
      <c r="V49" s="69"/>
      <c r="W49" s="69"/>
      <c r="X49" s="69"/>
      <c r="Y49" s="69"/>
      <c r="Z49" s="69"/>
    </row>
    <row r="50" spans="1:27" ht="15.5">
      <c r="A50" s="67"/>
      <c r="B50" s="67"/>
      <c r="C50" s="80"/>
      <c r="D50" s="81">
        <f>E50+K50+S50+T50</f>
        <v>0</v>
      </c>
      <c r="E50" s="81">
        <f>E10+E143-E144-E51</f>
        <v>0</v>
      </c>
      <c r="F50" s="81">
        <f t="shared" ref="F50:Z50" si="2">F10+F143-F144-F51</f>
        <v>0</v>
      </c>
      <c r="G50" s="81">
        <f t="shared" si="2"/>
        <v>0</v>
      </c>
      <c r="H50" s="81">
        <f>H10+H143-H144-H51</f>
        <v>0</v>
      </c>
      <c r="I50" s="81">
        <f t="shared" si="2"/>
        <v>0</v>
      </c>
      <c r="J50" s="81">
        <f t="shared" si="2"/>
        <v>0</v>
      </c>
      <c r="K50" s="81">
        <f>K10+K143-K143-K51</f>
        <v>0</v>
      </c>
      <c r="L50" s="81">
        <f t="shared" ref="L50:R50" si="3">L10+L143-L143-L51</f>
        <v>0</v>
      </c>
      <c r="M50" s="81">
        <f t="shared" si="3"/>
        <v>0</v>
      </c>
      <c r="N50" s="81">
        <f t="shared" si="3"/>
        <v>0</v>
      </c>
      <c r="O50" s="81">
        <f t="shared" si="3"/>
        <v>0</v>
      </c>
      <c r="P50" s="81">
        <f t="shared" si="3"/>
        <v>0</v>
      </c>
      <c r="Q50" s="81">
        <f t="shared" si="3"/>
        <v>0</v>
      </c>
      <c r="R50" s="81">
        <f t="shared" si="3"/>
        <v>0</v>
      </c>
      <c r="S50" s="81">
        <f t="shared" si="2"/>
        <v>0</v>
      </c>
      <c r="T50" s="81">
        <f t="shared" si="2"/>
        <v>0</v>
      </c>
      <c r="U50" s="81">
        <f t="shared" si="2"/>
        <v>0</v>
      </c>
      <c r="V50" s="81">
        <f t="shared" si="2"/>
        <v>0</v>
      </c>
      <c r="W50" s="81">
        <f t="shared" si="2"/>
        <v>0</v>
      </c>
      <c r="X50" s="81">
        <f t="shared" si="2"/>
        <v>0</v>
      </c>
      <c r="Y50" s="81">
        <f>Y10+Y143-Y144-Y51</f>
        <v>0</v>
      </c>
      <c r="Z50" s="81">
        <f t="shared" si="2"/>
        <v>0</v>
      </c>
      <c r="AA50" s="82" t="s">
        <v>714</v>
      </c>
    </row>
    <row r="51" spans="1:27">
      <c r="A51" s="67" t="s">
        <v>339</v>
      </c>
      <c r="B51" s="67">
        <v>200</v>
      </c>
      <c r="C51" s="67" t="s">
        <v>340</v>
      </c>
      <c r="D51" s="68">
        <f>E51+K51+S51+T51</f>
        <v>34476500</v>
      </c>
      <c r="E51" s="68">
        <f>SUM(F51:J51)</f>
        <v>32067000</v>
      </c>
      <c r="F51" s="68">
        <f>F53+F68+F78+F90+F92+F94</f>
        <v>0</v>
      </c>
      <c r="G51" s="68">
        <f>G53+G68+G78+G90+G92+G94</f>
        <v>0</v>
      </c>
      <c r="H51" s="68">
        <f>H53+H68+H78+H90+H92+H94</f>
        <v>31877600</v>
      </c>
      <c r="I51" s="68">
        <f>I53+I68+I78+I90+I92+I94</f>
        <v>0</v>
      </c>
      <c r="J51" s="68">
        <f>J53+J68+J78+J90+J92+J94</f>
        <v>189400</v>
      </c>
      <c r="K51" s="68">
        <f>SUM(L51:R51)</f>
        <v>2374500</v>
      </c>
      <c r="L51" s="68">
        <f t="shared" ref="L51:S51" si="4">L53+L68+L78+L90+L92+L94</f>
        <v>562400</v>
      </c>
      <c r="M51" s="68">
        <f t="shared" si="4"/>
        <v>1300</v>
      </c>
      <c r="N51" s="68">
        <f t="shared" si="4"/>
        <v>0</v>
      </c>
      <c r="O51" s="68">
        <f t="shared" si="4"/>
        <v>0</v>
      </c>
      <c r="P51" s="68">
        <f t="shared" si="4"/>
        <v>0</v>
      </c>
      <c r="Q51" s="68">
        <f t="shared" si="4"/>
        <v>1810800</v>
      </c>
      <c r="R51" s="68">
        <f t="shared" si="4"/>
        <v>0</v>
      </c>
      <c r="S51" s="68">
        <f t="shared" si="4"/>
        <v>0</v>
      </c>
      <c r="T51" s="68">
        <f>SUM(U51:Z51)</f>
        <v>35000</v>
      </c>
      <c r="U51" s="68">
        <f t="shared" ref="U51:Z51" si="5">U53+U68+U78+U90+U92+U94</f>
        <v>0</v>
      </c>
      <c r="V51" s="68">
        <f t="shared" si="5"/>
        <v>0</v>
      </c>
      <c r="W51" s="68">
        <f t="shared" si="5"/>
        <v>0</v>
      </c>
      <c r="X51" s="68">
        <f t="shared" si="5"/>
        <v>0</v>
      </c>
      <c r="Y51" s="68">
        <f t="shared" si="5"/>
        <v>35000</v>
      </c>
      <c r="Z51" s="68">
        <f t="shared" si="5"/>
        <v>0</v>
      </c>
    </row>
    <row r="52" spans="1:27">
      <c r="A52" s="67" t="s">
        <v>341</v>
      </c>
      <c r="B52" s="67"/>
      <c r="C52" s="67"/>
      <c r="D52" s="68"/>
      <c r="E52" s="68"/>
      <c r="F52" s="69"/>
      <c r="G52" s="69"/>
      <c r="H52" s="69"/>
      <c r="I52" s="69"/>
      <c r="J52" s="69"/>
      <c r="K52" s="68"/>
      <c r="L52" s="69"/>
      <c r="M52" s="69"/>
      <c r="N52" s="69"/>
      <c r="O52" s="69"/>
      <c r="P52" s="69"/>
      <c r="Q52" s="69"/>
      <c r="R52" s="69"/>
      <c r="S52" s="69"/>
      <c r="T52" s="68"/>
      <c r="U52" s="69"/>
      <c r="V52" s="69"/>
      <c r="W52" s="69"/>
      <c r="X52" s="69"/>
      <c r="Y52" s="69"/>
      <c r="Z52" s="69"/>
    </row>
    <row r="53" spans="1:27" ht="39">
      <c r="A53" s="67" t="s">
        <v>678</v>
      </c>
      <c r="B53" s="67">
        <v>210</v>
      </c>
      <c r="C53" s="67">
        <v>100</v>
      </c>
      <c r="D53" s="68">
        <f>E53+K53+S53+T53</f>
        <v>32433500</v>
      </c>
      <c r="E53" s="68">
        <f>SUM(F53:J53)</f>
        <v>30812300</v>
      </c>
      <c r="F53" s="68">
        <f>F55</f>
        <v>0</v>
      </c>
      <c r="G53" s="68">
        <f>G55</f>
        <v>0</v>
      </c>
      <c r="H53" s="68">
        <f>H55</f>
        <v>30812300</v>
      </c>
      <c r="I53" s="68">
        <f>I55</f>
        <v>0</v>
      </c>
      <c r="J53" s="68">
        <f>J55</f>
        <v>0</v>
      </c>
      <c r="K53" s="68">
        <f>SUM(L53:R53)</f>
        <v>1621200</v>
      </c>
      <c r="L53" s="68">
        <f t="shared" ref="L53:S53" si="6">L55</f>
        <v>562400</v>
      </c>
      <c r="M53" s="68">
        <f t="shared" si="6"/>
        <v>0</v>
      </c>
      <c r="N53" s="68">
        <f t="shared" si="6"/>
        <v>0</v>
      </c>
      <c r="O53" s="68">
        <f t="shared" si="6"/>
        <v>0</v>
      </c>
      <c r="P53" s="68">
        <f t="shared" si="6"/>
        <v>0</v>
      </c>
      <c r="Q53" s="68">
        <f t="shared" si="6"/>
        <v>1058800</v>
      </c>
      <c r="R53" s="68">
        <f t="shared" si="6"/>
        <v>0</v>
      </c>
      <c r="S53" s="68">
        <f t="shared" si="6"/>
        <v>0</v>
      </c>
      <c r="T53" s="68">
        <f>SUM(U53:Z53)</f>
        <v>0</v>
      </c>
      <c r="U53" s="68">
        <f t="shared" ref="U53:Z53" si="7">U55</f>
        <v>0</v>
      </c>
      <c r="V53" s="68">
        <f t="shared" si="7"/>
        <v>0</v>
      </c>
      <c r="W53" s="68">
        <f t="shared" si="7"/>
        <v>0</v>
      </c>
      <c r="X53" s="68">
        <f t="shared" si="7"/>
        <v>0</v>
      </c>
      <c r="Y53" s="68">
        <f t="shared" si="7"/>
        <v>0</v>
      </c>
      <c r="Z53" s="68">
        <f t="shared" si="7"/>
        <v>0</v>
      </c>
    </row>
    <row r="54" spans="1:27">
      <c r="A54" s="67" t="s">
        <v>225</v>
      </c>
      <c r="B54" s="67"/>
      <c r="C54" s="67"/>
      <c r="D54" s="68"/>
      <c r="E54" s="68"/>
      <c r="F54" s="69"/>
      <c r="G54" s="69"/>
      <c r="H54" s="69"/>
      <c r="I54" s="69"/>
      <c r="J54" s="69"/>
      <c r="K54" s="68"/>
      <c r="L54" s="69"/>
      <c r="M54" s="69"/>
      <c r="N54" s="69"/>
      <c r="O54" s="69"/>
      <c r="P54" s="69"/>
      <c r="Q54" s="69"/>
      <c r="R54" s="69"/>
      <c r="S54" s="69"/>
      <c r="T54" s="68"/>
      <c r="U54" s="69"/>
      <c r="V54" s="69"/>
      <c r="W54" s="69"/>
      <c r="X54" s="69"/>
      <c r="Y54" s="69"/>
      <c r="Z54" s="69"/>
    </row>
    <row r="55" spans="1:27">
      <c r="A55" s="67" t="s">
        <v>342</v>
      </c>
      <c r="B55" s="67">
        <v>211</v>
      </c>
      <c r="C55" s="67">
        <v>110</v>
      </c>
      <c r="D55" s="68">
        <f>E55+K55+S55+T55</f>
        <v>32433500</v>
      </c>
      <c r="E55" s="68">
        <f>SUM(F55:J55)</f>
        <v>30812300</v>
      </c>
      <c r="F55" s="68">
        <f>SUM(F57:F67)</f>
        <v>0</v>
      </c>
      <c r="G55" s="68">
        <f>SUM(G57:G67)</f>
        <v>0</v>
      </c>
      <c r="H55" s="68">
        <f>SUM(H57:H67)</f>
        <v>30812300</v>
      </c>
      <c r="I55" s="68">
        <f>SUM(I57:I67)</f>
        <v>0</v>
      </c>
      <c r="J55" s="68">
        <f>SUM(J57:J67)</f>
        <v>0</v>
      </c>
      <c r="K55" s="68">
        <f>SUM(L55:R55)</f>
        <v>1621200</v>
      </c>
      <c r="L55" s="68">
        <f t="shared" ref="L55:S55" si="8">SUM(L57:L67)</f>
        <v>562400</v>
      </c>
      <c r="M55" s="68">
        <f t="shared" si="8"/>
        <v>0</v>
      </c>
      <c r="N55" s="68">
        <f t="shared" si="8"/>
        <v>0</v>
      </c>
      <c r="O55" s="68">
        <f t="shared" si="8"/>
        <v>0</v>
      </c>
      <c r="P55" s="68">
        <f t="shared" si="8"/>
        <v>0</v>
      </c>
      <c r="Q55" s="68">
        <f t="shared" si="8"/>
        <v>1058800</v>
      </c>
      <c r="R55" s="68">
        <f t="shared" si="8"/>
        <v>0</v>
      </c>
      <c r="S55" s="68">
        <f t="shared" si="8"/>
        <v>0</v>
      </c>
      <c r="T55" s="68">
        <f>SUM(U55:Z55)</f>
        <v>0</v>
      </c>
      <c r="U55" s="68">
        <f t="shared" ref="U55:Z55" si="9">SUM(U57:U67)</f>
        <v>0</v>
      </c>
      <c r="V55" s="68">
        <f t="shared" si="9"/>
        <v>0</v>
      </c>
      <c r="W55" s="68">
        <f t="shared" si="9"/>
        <v>0</v>
      </c>
      <c r="X55" s="68">
        <f t="shared" si="9"/>
        <v>0</v>
      </c>
      <c r="Y55" s="68">
        <f t="shared" si="9"/>
        <v>0</v>
      </c>
      <c r="Z55" s="68">
        <f t="shared" si="9"/>
        <v>0</v>
      </c>
    </row>
    <row r="56" spans="1:27">
      <c r="A56" s="67" t="s">
        <v>225</v>
      </c>
      <c r="B56" s="67"/>
      <c r="C56" s="67"/>
      <c r="D56" s="68"/>
      <c r="E56" s="68"/>
      <c r="F56" s="69"/>
      <c r="G56" s="69"/>
      <c r="H56" s="69"/>
      <c r="I56" s="69"/>
      <c r="J56" s="69"/>
      <c r="K56" s="68"/>
      <c r="L56" s="69"/>
      <c r="M56" s="69"/>
      <c r="N56" s="69"/>
      <c r="O56" s="69"/>
      <c r="P56" s="69"/>
      <c r="Q56" s="69"/>
      <c r="R56" s="69"/>
      <c r="S56" s="69"/>
      <c r="T56" s="68"/>
      <c r="U56" s="69"/>
      <c r="V56" s="69"/>
      <c r="W56" s="69"/>
      <c r="X56" s="69"/>
      <c r="Y56" s="69"/>
      <c r="Z56" s="69"/>
    </row>
    <row r="57" spans="1:27" ht="26">
      <c r="A57" s="67" t="s">
        <v>343</v>
      </c>
      <c r="B57" s="67">
        <v>211.1</v>
      </c>
      <c r="C57" s="67" t="s">
        <v>621</v>
      </c>
      <c r="D57" s="68">
        <f t="shared" ref="D57:D68" si="10">E57+K57+S57+T57</f>
        <v>23665300</v>
      </c>
      <c r="E57" s="68">
        <f>SUM(F57:J57)</f>
        <v>23665300</v>
      </c>
      <c r="F57" s="69"/>
      <c r="G57" s="69"/>
      <c r="H57" s="69">
        <f>24027300-362000</f>
        <v>23665300</v>
      </c>
      <c r="I57" s="69"/>
      <c r="J57" s="69"/>
      <c r="K57" s="68">
        <f>SUM(L57:R57)</f>
        <v>0</v>
      </c>
      <c r="L57" s="69"/>
      <c r="M57" s="69"/>
      <c r="N57" s="69"/>
      <c r="O57" s="69"/>
      <c r="P57" s="69"/>
      <c r="Q57" s="69"/>
      <c r="R57" s="69"/>
      <c r="S57" s="69"/>
      <c r="T57" s="68">
        <f t="shared" ref="T57:T66" si="11">SUM(U57:Z57)</f>
        <v>0</v>
      </c>
      <c r="U57" s="69"/>
      <c r="V57" s="69"/>
      <c r="W57" s="69"/>
      <c r="X57" s="69"/>
      <c r="Y57" s="69"/>
      <c r="Z57" s="69"/>
    </row>
    <row r="58" spans="1:27" ht="26">
      <c r="A58" s="67" t="s">
        <v>659</v>
      </c>
      <c r="B58" s="67">
        <v>211.2</v>
      </c>
      <c r="C58" s="67" t="s">
        <v>622</v>
      </c>
      <c r="D58" s="68">
        <f t="shared" si="10"/>
        <v>562400</v>
      </c>
      <c r="E58" s="68">
        <f>SUM(F58:J58)</f>
        <v>0</v>
      </c>
      <c r="F58" s="69"/>
      <c r="G58" s="69"/>
      <c r="H58" s="69">
        <v>0</v>
      </c>
      <c r="I58" s="69"/>
      <c r="J58" s="69"/>
      <c r="K58" s="68">
        <f>SUM(L58:R58)</f>
        <v>562400</v>
      </c>
      <c r="L58" s="69">
        <v>562400</v>
      </c>
      <c r="M58" s="69"/>
      <c r="N58" s="69"/>
      <c r="O58" s="69"/>
      <c r="P58" s="69"/>
      <c r="Q58" s="69"/>
      <c r="R58" s="69"/>
      <c r="S58" s="69"/>
      <c r="T58" s="68">
        <f t="shared" si="11"/>
        <v>0</v>
      </c>
      <c r="U58" s="69"/>
      <c r="V58" s="69"/>
      <c r="W58" s="69"/>
      <c r="X58" s="69"/>
      <c r="Y58" s="69"/>
      <c r="Z58" s="69"/>
    </row>
    <row r="59" spans="1:27" ht="26" hidden="1">
      <c r="A59" s="67" t="s">
        <v>344</v>
      </c>
      <c r="B59" s="67">
        <v>211.3</v>
      </c>
      <c r="C59" s="67" t="s">
        <v>345</v>
      </c>
      <c r="D59" s="68">
        <f t="shared" si="10"/>
        <v>0</v>
      </c>
      <c r="E59" s="68">
        <f>SUM(F59:J59)</f>
        <v>0</v>
      </c>
      <c r="F59" s="69"/>
      <c r="G59" s="69"/>
      <c r="H59" s="69"/>
      <c r="I59" s="69"/>
      <c r="J59" s="69"/>
      <c r="K59" s="68">
        <f>SUM(L59:R59)</f>
        <v>0</v>
      </c>
      <c r="L59" s="69"/>
      <c r="M59" s="69"/>
      <c r="N59" s="69"/>
      <c r="O59" s="69"/>
      <c r="P59" s="69"/>
      <c r="Q59" s="69"/>
      <c r="R59" s="69"/>
      <c r="S59" s="69"/>
      <c r="T59" s="68">
        <f t="shared" si="11"/>
        <v>0</v>
      </c>
      <c r="U59" s="69"/>
      <c r="V59" s="69"/>
      <c r="W59" s="69"/>
      <c r="X59" s="69"/>
      <c r="Y59" s="69"/>
      <c r="Z59" s="69"/>
    </row>
    <row r="60" spans="1:27" ht="91" hidden="1">
      <c r="A60" s="67" t="s">
        <v>346</v>
      </c>
      <c r="B60" s="67">
        <v>211.4</v>
      </c>
      <c r="C60" s="67" t="s">
        <v>347</v>
      </c>
      <c r="D60" s="68">
        <f t="shared" si="10"/>
        <v>0</v>
      </c>
      <c r="E60" s="68">
        <f>SUM(F60:J60)</f>
        <v>0</v>
      </c>
      <c r="F60" s="69"/>
      <c r="G60" s="69"/>
      <c r="H60" s="69"/>
      <c r="I60" s="69"/>
      <c r="J60" s="69"/>
      <c r="K60" s="68">
        <f>SUM(L60:R60)</f>
        <v>0</v>
      </c>
      <c r="L60" s="69"/>
      <c r="M60" s="69"/>
      <c r="N60" s="69"/>
      <c r="O60" s="69"/>
      <c r="P60" s="69"/>
      <c r="Q60" s="69"/>
      <c r="R60" s="69"/>
      <c r="S60" s="69"/>
      <c r="T60" s="68">
        <f t="shared" si="11"/>
        <v>0</v>
      </c>
      <c r="U60" s="69"/>
      <c r="V60" s="69"/>
      <c r="W60" s="69"/>
      <c r="X60" s="69"/>
      <c r="Y60" s="69"/>
      <c r="Z60" s="69"/>
    </row>
    <row r="61" spans="1:27" ht="27.75" customHeight="1">
      <c r="A61" s="67" t="s">
        <v>348</v>
      </c>
      <c r="B61" s="67">
        <v>211.5</v>
      </c>
      <c r="C61" s="67" t="s">
        <v>623</v>
      </c>
      <c r="D61" s="68">
        <f t="shared" si="10"/>
        <v>93700</v>
      </c>
      <c r="E61" s="68">
        <f t="shared" ref="E61:E70" si="12">SUM(F61:J61)</f>
        <v>0</v>
      </c>
      <c r="F61" s="69"/>
      <c r="G61" s="69"/>
      <c r="H61" s="69"/>
      <c r="I61" s="69"/>
      <c r="J61" s="69"/>
      <c r="K61" s="68">
        <f t="shared" ref="K61:K70" si="13">SUM(L61:R61)</f>
        <v>93700</v>
      </c>
      <c r="L61" s="69"/>
      <c r="M61" s="69"/>
      <c r="N61" s="69"/>
      <c r="O61" s="69"/>
      <c r="P61" s="69"/>
      <c r="Q61" s="69">
        <v>93700</v>
      </c>
      <c r="R61" s="69"/>
      <c r="S61" s="69"/>
      <c r="T61" s="68">
        <f t="shared" si="11"/>
        <v>0</v>
      </c>
      <c r="U61" s="69"/>
      <c r="V61" s="69"/>
      <c r="W61" s="69"/>
      <c r="X61" s="69"/>
      <c r="Y61" s="69"/>
      <c r="Z61" s="69"/>
    </row>
    <row r="62" spans="1:27" ht="26" hidden="1">
      <c r="A62" s="67" t="s">
        <v>349</v>
      </c>
      <c r="B62" s="67">
        <v>211.6</v>
      </c>
      <c r="C62" s="67" t="s">
        <v>350</v>
      </c>
      <c r="D62" s="68">
        <f t="shared" si="10"/>
        <v>0</v>
      </c>
      <c r="E62" s="68">
        <f t="shared" si="12"/>
        <v>0</v>
      </c>
      <c r="F62" s="69"/>
      <c r="G62" s="69"/>
      <c r="H62" s="69"/>
      <c r="I62" s="69"/>
      <c r="J62" s="69"/>
      <c r="K62" s="68">
        <f t="shared" si="13"/>
        <v>0</v>
      </c>
      <c r="L62" s="69"/>
      <c r="M62" s="69"/>
      <c r="N62" s="69"/>
      <c r="O62" s="69"/>
      <c r="P62" s="69"/>
      <c r="Q62" s="69"/>
      <c r="R62" s="69"/>
      <c r="S62" s="69"/>
      <c r="T62" s="68">
        <f t="shared" si="11"/>
        <v>0</v>
      </c>
      <c r="U62" s="69"/>
      <c r="V62" s="69"/>
      <c r="W62" s="69"/>
      <c r="X62" s="69"/>
      <c r="Y62" s="69"/>
      <c r="Z62" s="69"/>
    </row>
    <row r="63" spans="1:27" ht="27" customHeight="1">
      <c r="A63" s="67" t="s">
        <v>351</v>
      </c>
      <c r="B63" s="67">
        <v>211.7</v>
      </c>
      <c r="C63" s="67" t="s">
        <v>624</v>
      </c>
      <c r="D63" s="68">
        <f t="shared" si="10"/>
        <v>67000</v>
      </c>
      <c r="E63" s="68">
        <f t="shared" si="12"/>
        <v>0</v>
      </c>
      <c r="F63" s="69"/>
      <c r="G63" s="69"/>
      <c r="H63" s="69"/>
      <c r="I63" s="69"/>
      <c r="J63" s="69"/>
      <c r="K63" s="68">
        <f t="shared" si="13"/>
        <v>67000</v>
      </c>
      <c r="L63" s="69"/>
      <c r="M63" s="69"/>
      <c r="N63" s="69"/>
      <c r="O63" s="69"/>
      <c r="P63" s="69"/>
      <c r="Q63" s="69">
        <v>67000</v>
      </c>
      <c r="R63" s="69"/>
      <c r="S63" s="69"/>
      <c r="T63" s="68">
        <f t="shared" si="11"/>
        <v>0</v>
      </c>
      <c r="U63" s="69"/>
      <c r="V63" s="69"/>
      <c r="W63" s="69"/>
      <c r="X63" s="69"/>
      <c r="Y63" s="69"/>
      <c r="Z63" s="69"/>
    </row>
    <row r="64" spans="1:27" ht="26" hidden="1">
      <c r="A64" s="67" t="s">
        <v>352</v>
      </c>
      <c r="B64" s="67">
        <v>211.8</v>
      </c>
      <c r="C64" s="67" t="s">
        <v>625</v>
      </c>
      <c r="D64" s="68">
        <f t="shared" si="10"/>
        <v>0</v>
      </c>
      <c r="E64" s="68">
        <f t="shared" si="12"/>
        <v>0</v>
      </c>
      <c r="F64" s="69"/>
      <c r="G64" s="69"/>
      <c r="H64" s="69"/>
      <c r="I64" s="69"/>
      <c r="J64" s="69"/>
      <c r="K64" s="68">
        <f t="shared" si="13"/>
        <v>0</v>
      </c>
      <c r="L64" s="69"/>
      <c r="M64" s="69"/>
      <c r="N64" s="69"/>
      <c r="O64" s="69"/>
      <c r="P64" s="69"/>
      <c r="Q64" s="69"/>
      <c r="R64" s="69"/>
      <c r="S64" s="69"/>
      <c r="T64" s="68">
        <f t="shared" si="11"/>
        <v>0</v>
      </c>
      <c r="U64" s="69"/>
      <c r="V64" s="69"/>
      <c r="W64" s="69"/>
      <c r="X64" s="69"/>
      <c r="Y64" s="69"/>
      <c r="Z64" s="69"/>
    </row>
    <row r="65" spans="1:26" ht="91" hidden="1">
      <c r="A65" s="67" t="s">
        <v>353</v>
      </c>
      <c r="B65" s="67">
        <v>211.9</v>
      </c>
      <c r="C65" s="67" t="s">
        <v>354</v>
      </c>
      <c r="D65" s="68">
        <f t="shared" si="10"/>
        <v>0</v>
      </c>
      <c r="E65" s="68">
        <f t="shared" si="12"/>
        <v>0</v>
      </c>
      <c r="F65" s="69"/>
      <c r="G65" s="69"/>
      <c r="H65" s="69"/>
      <c r="I65" s="69"/>
      <c r="J65" s="69"/>
      <c r="K65" s="68">
        <f t="shared" si="13"/>
        <v>0</v>
      </c>
      <c r="L65" s="69"/>
      <c r="M65" s="69"/>
      <c r="N65" s="69"/>
      <c r="O65" s="69"/>
      <c r="P65" s="69"/>
      <c r="Q65" s="69"/>
      <c r="R65" s="69"/>
      <c r="S65" s="69"/>
      <c r="T65" s="68">
        <f t="shared" si="11"/>
        <v>0</v>
      </c>
      <c r="U65" s="69"/>
      <c r="V65" s="69"/>
      <c r="W65" s="69"/>
      <c r="X65" s="69"/>
      <c r="Y65" s="69"/>
      <c r="Z65" s="69"/>
    </row>
    <row r="66" spans="1:26" ht="78">
      <c r="A66" s="67" t="s">
        <v>355</v>
      </c>
      <c r="B66" s="67">
        <v>211.1</v>
      </c>
      <c r="C66" s="67" t="s">
        <v>356</v>
      </c>
      <c r="D66" s="68">
        <f t="shared" si="10"/>
        <v>898100</v>
      </c>
      <c r="E66" s="68">
        <f t="shared" si="12"/>
        <v>0</v>
      </c>
      <c r="F66" s="69"/>
      <c r="G66" s="69"/>
      <c r="H66" s="69"/>
      <c r="I66" s="69"/>
      <c r="J66" s="69"/>
      <c r="K66" s="68">
        <f t="shared" si="13"/>
        <v>898100</v>
      </c>
      <c r="L66" s="69"/>
      <c r="M66" s="69"/>
      <c r="N66" s="69"/>
      <c r="O66" s="69"/>
      <c r="P66" s="69"/>
      <c r="Q66" s="69">
        <v>898100</v>
      </c>
      <c r="R66" s="69"/>
      <c r="S66" s="69"/>
      <c r="T66" s="68">
        <f t="shared" si="11"/>
        <v>0</v>
      </c>
      <c r="U66" s="69"/>
      <c r="V66" s="69"/>
      <c r="W66" s="69"/>
      <c r="X66" s="69"/>
      <c r="Y66" s="69"/>
      <c r="Z66" s="69"/>
    </row>
    <row r="67" spans="1:26" ht="24.75" customHeight="1">
      <c r="A67" s="67" t="s">
        <v>357</v>
      </c>
      <c r="B67" s="67">
        <v>211.11</v>
      </c>
      <c r="C67" s="67" t="s">
        <v>626</v>
      </c>
      <c r="D67" s="68">
        <f t="shared" si="10"/>
        <v>7147000</v>
      </c>
      <c r="E67" s="68">
        <f t="shared" si="12"/>
        <v>7147000</v>
      </c>
      <c r="F67" s="69"/>
      <c r="G67" s="69"/>
      <c r="H67" s="69">
        <f>7256300-109300</f>
        <v>7147000</v>
      </c>
      <c r="I67" s="69"/>
      <c r="J67" s="69"/>
      <c r="K67" s="68">
        <f t="shared" si="13"/>
        <v>0</v>
      </c>
      <c r="L67" s="69"/>
      <c r="M67" s="69"/>
      <c r="N67" s="69"/>
      <c r="O67" s="69"/>
      <c r="P67" s="69"/>
      <c r="Q67" s="69"/>
      <c r="R67" s="69"/>
      <c r="S67" s="69"/>
      <c r="T67" s="68">
        <f>SUM(U67:Z67)</f>
        <v>0</v>
      </c>
      <c r="U67" s="69"/>
      <c r="V67" s="69"/>
      <c r="W67" s="69"/>
      <c r="X67" s="69"/>
      <c r="Y67" s="69"/>
      <c r="Z67" s="69"/>
    </row>
    <row r="68" spans="1:26" ht="26" hidden="1">
      <c r="A68" s="67" t="s">
        <v>358</v>
      </c>
      <c r="B68" s="67">
        <v>220</v>
      </c>
      <c r="C68" s="67">
        <v>300</v>
      </c>
      <c r="D68" s="68">
        <f t="shared" si="10"/>
        <v>0</v>
      </c>
      <c r="E68" s="68">
        <f t="shared" si="12"/>
        <v>0</v>
      </c>
      <c r="F68" s="68">
        <f>F70</f>
        <v>0</v>
      </c>
      <c r="G68" s="68">
        <f t="shared" ref="G68:Z68" si="14">G70</f>
        <v>0</v>
      </c>
      <c r="H68" s="68">
        <f t="shared" si="14"/>
        <v>0</v>
      </c>
      <c r="I68" s="68">
        <f t="shared" si="14"/>
        <v>0</v>
      </c>
      <c r="J68" s="68">
        <f t="shared" si="14"/>
        <v>0</v>
      </c>
      <c r="K68" s="68">
        <f t="shared" si="13"/>
        <v>0</v>
      </c>
      <c r="L68" s="68">
        <f t="shared" si="14"/>
        <v>0</v>
      </c>
      <c r="M68" s="68">
        <f t="shared" si="14"/>
        <v>0</v>
      </c>
      <c r="N68" s="68">
        <f t="shared" si="14"/>
        <v>0</v>
      </c>
      <c r="O68" s="68">
        <f t="shared" si="14"/>
        <v>0</v>
      </c>
      <c r="P68" s="68">
        <f t="shared" si="14"/>
        <v>0</v>
      </c>
      <c r="Q68" s="68">
        <f t="shared" si="14"/>
        <v>0</v>
      </c>
      <c r="R68" s="68">
        <f t="shared" si="14"/>
        <v>0</v>
      </c>
      <c r="S68" s="68">
        <f t="shared" si="14"/>
        <v>0</v>
      </c>
      <c r="T68" s="68">
        <f>SUM(U68:Z68)</f>
        <v>0</v>
      </c>
      <c r="U68" s="68">
        <f t="shared" si="14"/>
        <v>0</v>
      </c>
      <c r="V68" s="68">
        <f t="shared" si="14"/>
        <v>0</v>
      </c>
      <c r="W68" s="68">
        <f t="shared" si="14"/>
        <v>0</v>
      </c>
      <c r="X68" s="68">
        <f t="shared" si="14"/>
        <v>0</v>
      </c>
      <c r="Y68" s="68">
        <f t="shared" si="14"/>
        <v>0</v>
      </c>
      <c r="Z68" s="68">
        <f t="shared" si="14"/>
        <v>0</v>
      </c>
    </row>
    <row r="69" spans="1:26" hidden="1">
      <c r="A69" s="67" t="s">
        <v>227</v>
      </c>
      <c r="B69" s="67"/>
      <c r="C69" s="67"/>
      <c r="D69" s="68"/>
      <c r="E69" s="68"/>
      <c r="F69" s="69"/>
      <c r="G69" s="69"/>
      <c r="H69" s="69"/>
      <c r="I69" s="69"/>
      <c r="J69" s="69"/>
      <c r="K69" s="68"/>
      <c r="L69" s="69"/>
      <c r="M69" s="69"/>
      <c r="N69" s="69"/>
      <c r="O69" s="69"/>
      <c r="P69" s="69"/>
      <c r="Q69" s="69"/>
      <c r="R69" s="69"/>
      <c r="S69" s="69"/>
      <c r="T69" s="68"/>
      <c r="U69" s="69"/>
      <c r="V69" s="69"/>
      <c r="W69" s="69"/>
      <c r="X69" s="69"/>
      <c r="Y69" s="69"/>
      <c r="Z69" s="69"/>
    </row>
    <row r="70" spans="1:26" ht="39" hidden="1">
      <c r="A70" s="67" t="s">
        <v>359</v>
      </c>
      <c r="B70" s="67">
        <v>221</v>
      </c>
      <c r="C70" s="67">
        <v>320</v>
      </c>
      <c r="D70" s="68">
        <f>E70+K70+S70+T70</f>
        <v>0</v>
      </c>
      <c r="E70" s="68">
        <f t="shared" si="12"/>
        <v>0</v>
      </c>
      <c r="F70" s="68">
        <f>SUM(F72:F77)</f>
        <v>0</v>
      </c>
      <c r="G70" s="68">
        <f>SUM(G72:G77)</f>
        <v>0</v>
      </c>
      <c r="H70" s="68">
        <f>SUM(H72:H77)</f>
        <v>0</v>
      </c>
      <c r="I70" s="68">
        <f>SUM(I72:I77)</f>
        <v>0</v>
      </c>
      <c r="J70" s="68">
        <f>SUM(J72:J77)</f>
        <v>0</v>
      </c>
      <c r="K70" s="68">
        <f t="shared" si="13"/>
        <v>0</v>
      </c>
      <c r="L70" s="68">
        <f t="shared" ref="L70:S70" si="15">SUM(L72:L77)</f>
        <v>0</v>
      </c>
      <c r="M70" s="68">
        <f t="shared" si="15"/>
        <v>0</v>
      </c>
      <c r="N70" s="68">
        <f t="shared" si="15"/>
        <v>0</v>
      </c>
      <c r="O70" s="68">
        <f t="shared" si="15"/>
        <v>0</v>
      </c>
      <c r="P70" s="68">
        <f t="shared" si="15"/>
        <v>0</v>
      </c>
      <c r="Q70" s="68">
        <f>SUM(Q72:Q77)</f>
        <v>0</v>
      </c>
      <c r="R70" s="68">
        <f t="shared" si="15"/>
        <v>0</v>
      </c>
      <c r="S70" s="68">
        <f t="shared" si="15"/>
        <v>0</v>
      </c>
      <c r="T70" s="68">
        <f>SUM(U70:Z70)</f>
        <v>0</v>
      </c>
      <c r="U70" s="68">
        <f t="shared" ref="U70:Z70" si="16">SUM(U72:U77)</f>
        <v>0</v>
      </c>
      <c r="V70" s="68">
        <f t="shared" si="16"/>
        <v>0</v>
      </c>
      <c r="W70" s="68">
        <f t="shared" si="16"/>
        <v>0</v>
      </c>
      <c r="X70" s="68">
        <f t="shared" si="16"/>
        <v>0</v>
      </c>
      <c r="Y70" s="68">
        <f t="shared" si="16"/>
        <v>0</v>
      </c>
      <c r="Z70" s="68">
        <f t="shared" si="16"/>
        <v>0</v>
      </c>
    </row>
    <row r="71" spans="1:26" hidden="1">
      <c r="A71" s="67" t="s">
        <v>225</v>
      </c>
      <c r="B71" s="79"/>
      <c r="C71" s="79"/>
      <c r="D71" s="68"/>
      <c r="E71" s="68"/>
      <c r="F71" s="69"/>
      <c r="G71" s="69"/>
      <c r="H71" s="69"/>
      <c r="I71" s="69"/>
      <c r="J71" s="69"/>
      <c r="K71" s="68"/>
      <c r="L71" s="69"/>
      <c r="M71" s="69"/>
      <c r="N71" s="69"/>
      <c r="O71" s="69"/>
      <c r="P71" s="69"/>
      <c r="Q71" s="69"/>
      <c r="R71" s="69"/>
      <c r="S71" s="69"/>
      <c r="T71" s="68"/>
      <c r="U71" s="69"/>
      <c r="V71" s="69"/>
      <c r="W71" s="69"/>
      <c r="X71" s="69"/>
      <c r="Y71" s="69"/>
      <c r="Z71" s="69"/>
    </row>
    <row r="72" spans="1:26" ht="26" hidden="1">
      <c r="A72" s="67" t="s">
        <v>360</v>
      </c>
      <c r="B72" s="67">
        <v>221.1</v>
      </c>
      <c r="C72" s="67" t="s">
        <v>361</v>
      </c>
      <c r="D72" s="68">
        <f t="shared" ref="D72:D78" si="17">E72+K72+S72+T72</f>
        <v>0</v>
      </c>
      <c r="E72" s="68">
        <f t="shared" ref="E72:E78" si="18">SUM(F72:J72)</f>
        <v>0</v>
      </c>
      <c r="F72" s="69"/>
      <c r="G72" s="69"/>
      <c r="H72" s="69"/>
      <c r="I72" s="69"/>
      <c r="J72" s="69"/>
      <c r="K72" s="68">
        <f t="shared" ref="K72:K78" si="19">SUM(L72:R72)</f>
        <v>0</v>
      </c>
      <c r="L72" s="69"/>
      <c r="M72" s="69"/>
      <c r="N72" s="69"/>
      <c r="O72" s="69"/>
      <c r="P72" s="69"/>
      <c r="Q72" s="69"/>
      <c r="R72" s="69"/>
      <c r="S72" s="69"/>
      <c r="T72" s="68">
        <f t="shared" ref="T72:T78" si="20">SUM(U72:Z72)</f>
        <v>0</v>
      </c>
      <c r="U72" s="69"/>
      <c r="V72" s="69"/>
      <c r="W72" s="69"/>
      <c r="X72" s="69"/>
      <c r="Y72" s="69"/>
      <c r="Z72" s="69"/>
    </row>
    <row r="73" spans="1:26" ht="26" hidden="1">
      <c r="A73" s="67" t="s">
        <v>660</v>
      </c>
      <c r="B73" s="67">
        <v>221.2</v>
      </c>
      <c r="C73" s="67" t="s">
        <v>362</v>
      </c>
      <c r="D73" s="68">
        <f t="shared" si="17"/>
        <v>0</v>
      </c>
      <c r="E73" s="68">
        <f t="shared" si="18"/>
        <v>0</v>
      </c>
      <c r="F73" s="69"/>
      <c r="G73" s="69"/>
      <c r="H73" s="69"/>
      <c r="I73" s="69"/>
      <c r="J73" s="69"/>
      <c r="K73" s="68">
        <f t="shared" si="19"/>
        <v>0</v>
      </c>
      <c r="L73" s="69"/>
      <c r="M73" s="69"/>
      <c r="N73" s="69"/>
      <c r="O73" s="69"/>
      <c r="P73" s="69"/>
      <c r="Q73" s="69"/>
      <c r="R73" s="69"/>
      <c r="S73" s="69"/>
      <c r="T73" s="68">
        <f t="shared" si="20"/>
        <v>0</v>
      </c>
      <c r="U73" s="69"/>
      <c r="V73" s="69"/>
      <c r="W73" s="69"/>
      <c r="X73" s="69"/>
      <c r="Y73" s="69"/>
      <c r="Z73" s="69"/>
    </row>
    <row r="74" spans="1:26" ht="52" hidden="1">
      <c r="A74" s="67" t="s">
        <v>363</v>
      </c>
      <c r="B74" s="67">
        <v>221.3</v>
      </c>
      <c r="C74" s="67" t="s">
        <v>364</v>
      </c>
      <c r="D74" s="68">
        <f t="shared" si="17"/>
        <v>0</v>
      </c>
      <c r="E74" s="68">
        <f t="shared" si="18"/>
        <v>0</v>
      </c>
      <c r="F74" s="69"/>
      <c r="G74" s="69"/>
      <c r="H74" s="69"/>
      <c r="I74" s="69"/>
      <c r="J74" s="69"/>
      <c r="K74" s="68">
        <f t="shared" si="19"/>
        <v>0</v>
      </c>
      <c r="L74" s="69"/>
      <c r="M74" s="69"/>
      <c r="N74" s="69"/>
      <c r="O74" s="69"/>
      <c r="P74" s="69"/>
      <c r="Q74" s="69"/>
      <c r="R74" s="69"/>
      <c r="S74" s="69"/>
      <c r="T74" s="68">
        <f t="shared" si="20"/>
        <v>0</v>
      </c>
      <c r="U74" s="69"/>
      <c r="V74" s="69"/>
      <c r="W74" s="69"/>
      <c r="X74" s="69"/>
      <c r="Y74" s="69"/>
      <c r="Z74" s="69"/>
    </row>
    <row r="75" spans="1:26" ht="26" hidden="1">
      <c r="A75" s="67" t="s">
        <v>365</v>
      </c>
      <c r="B75" s="67">
        <v>222</v>
      </c>
      <c r="C75" s="67" t="s">
        <v>366</v>
      </c>
      <c r="D75" s="68">
        <f t="shared" si="17"/>
        <v>0</v>
      </c>
      <c r="E75" s="68">
        <f t="shared" si="18"/>
        <v>0</v>
      </c>
      <c r="F75" s="69"/>
      <c r="G75" s="69"/>
      <c r="H75" s="69"/>
      <c r="I75" s="69"/>
      <c r="J75" s="69"/>
      <c r="K75" s="68">
        <f t="shared" si="19"/>
        <v>0</v>
      </c>
      <c r="L75" s="69"/>
      <c r="M75" s="69"/>
      <c r="N75" s="69"/>
      <c r="O75" s="69"/>
      <c r="P75" s="69"/>
      <c r="Q75" s="69"/>
      <c r="R75" s="69"/>
      <c r="S75" s="69"/>
      <c r="T75" s="68">
        <f t="shared" si="20"/>
        <v>0</v>
      </c>
      <c r="U75" s="69"/>
      <c r="V75" s="69"/>
      <c r="W75" s="69"/>
      <c r="X75" s="69"/>
      <c r="Y75" s="69"/>
      <c r="Z75" s="69"/>
    </row>
    <row r="76" spans="1:26" ht="26" hidden="1">
      <c r="A76" s="67" t="s">
        <v>367</v>
      </c>
      <c r="B76" s="67">
        <v>223</v>
      </c>
      <c r="C76" s="67" t="s">
        <v>368</v>
      </c>
      <c r="D76" s="68">
        <f t="shared" si="17"/>
        <v>0</v>
      </c>
      <c r="E76" s="68">
        <f t="shared" si="18"/>
        <v>0</v>
      </c>
      <c r="F76" s="69"/>
      <c r="G76" s="69"/>
      <c r="H76" s="69"/>
      <c r="I76" s="69"/>
      <c r="J76" s="69"/>
      <c r="K76" s="68">
        <f t="shared" si="19"/>
        <v>0</v>
      </c>
      <c r="L76" s="69"/>
      <c r="M76" s="69"/>
      <c r="N76" s="69"/>
      <c r="O76" s="69"/>
      <c r="P76" s="69"/>
      <c r="Q76" s="69"/>
      <c r="R76" s="69"/>
      <c r="S76" s="69"/>
      <c r="T76" s="68">
        <f t="shared" si="20"/>
        <v>0</v>
      </c>
      <c r="U76" s="69"/>
      <c r="V76" s="69"/>
      <c r="W76" s="69"/>
      <c r="X76" s="69"/>
      <c r="Y76" s="69"/>
      <c r="Z76" s="69"/>
    </row>
    <row r="77" spans="1:26" ht="26" hidden="1">
      <c r="A77" s="67" t="s">
        <v>369</v>
      </c>
      <c r="B77" s="67">
        <v>224</v>
      </c>
      <c r="C77" s="67" t="s">
        <v>370</v>
      </c>
      <c r="D77" s="68">
        <f t="shared" si="17"/>
        <v>0</v>
      </c>
      <c r="E77" s="68">
        <f t="shared" si="18"/>
        <v>0</v>
      </c>
      <c r="F77" s="69"/>
      <c r="G77" s="69"/>
      <c r="H77" s="69"/>
      <c r="I77" s="69"/>
      <c r="J77" s="69"/>
      <c r="K77" s="68">
        <f t="shared" si="19"/>
        <v>0</v>
      </c>
      <c r="L77" s="69"/>
      <c r="M77" s="69"/>
      <c r="N77" s="69"/>
      <c r="O77" s="69"/>
      <c r="P77" s="69"/>
      <c r="Q77" s="69"/>
      <c r="R77" s="69"/>
      <c r="S77" s="69"/>
      <c r="T77" s="68">
        <f t="shared" si="20"/>
        <v>0</v>
      </c>
      <c r="U77" s="69"/>
      <c r="V77" s="69"/>
      <c r="W77" s="69"/>
      <c r="X77" s="69"/>
      <c r="Y77" s="69"/>
      <c r="Z77" s="69"/>
    </row>
    <row r="78" spans="1:26" ht="26">
      <c r="A78" s="67" t="s">
        <v>371</v>
      </c>
      <c r="B78" s="67">
        <v>230</v>
      </c>
      <c r="C78" s="67">
        <v>800</v>
      </c>
      <c r="D78" s="68">
        <f t="shared" si="17"/>
        <v>1300</v>
      </c>
      <c r="E78" s="68">
        <f t="shared" si="18"/>
        <v>0</v>
      </c>
      <c r="F78" s="68">
        <f>F80+F83</f>
        <v>0</v>
      </c>
      <c r="G78" s="68">
        <f>G80+G83</f>
        <v>0</v>
      </c>
      <c r="H78" s="68">
        <f>H80+H83</f>
        <v>0</v>
      </c>
      <c r="I78" s="68">
        <f>I80+I83</f>
        <v>0</v>
      </c>
      <c r="J78" s="68">
        <f>J80+J83</f>
        <v>0</v>
      </c>
      <c r="K78" s="68">
        <f t="shared" si="19"/>
        <v>1300</v>
      </c>
      <c r="L78" s="68">
        <f t="shared" ref="L78:S78" si="21">L80+L83</f>
        <v>0</v>
      </c>
      <c r="M78" s="68">
        <f t="shared" si="21"/>
        <v>1300</v>
      </c>
      <c r="N78" s="68">
        <f t="shared" si="21"/>
        <v>0</v>
      </c>
      <c r="O78" s="68">
        <f t="shared" si="21"/>
        <v>0</v>
      </c>
      <c r="P78" s="68">
        <f t="shared" si="21"/>
        <v>0</v>
      </c>
      <c r="Q78" s="68">
        <f t="shared" si="21"/>
        <v>0</v>
      </c>
      <c r="R78" s="68">
        <f t="shared" si="21"/>
        <v>0</v>
      </c>
      <c r="S78" s="68">
        <f t="shared" si="21"/>
        <v>0</v>
      </c>
      <c r="T78" s="68">
        <f t="shared" si="20"/>
        <v>0</v>
      </c>
      <c r="U78" s="68">
        <f t="shared" ref="U78:Z78" si="22">U80+U83</f>
        <v>0</v>
      </c>
      <c r="V78" s="68">
        <f t="shared" si="22"/>
        <v>0</v>
      </c>
      <c r="W78" s="68">
        <f t="shared" si="22"/>
        <v>0</v>
      </c>
      <c r="X78" s="68">
        <f t="shared" si="22"/>
        <v>0</v>
      </c>
      <c r="Y78" s="68">
        <f t="shared" si="22"/>
        <v>0</v>
      </c>
      <c r="Z78" s="68">
        <f t="shared" si="22"/>
        <v>0</v>
      </c>
    </row>
    <row r="79" spans="1:26">
      <c r="A79" s="67" t="s">
        <v>227</v>
      </c>
      <c r="B79" s="79"/>
      <c r="C79" s="79"/>
      <c r="D79" s="68"/>
      <c r="E79" s="68"/>
      <c r="F79" s="69"/>
      <c r="G79" s="69"/>
      <c r="H79" s="69"/>
      <c r="I79" s="69"/>
      <c r="J79" s="69"/>
      <c r="K79" s="68"/>
      <c r="L79" s="69"/>
      <c r="M79" s="69"/>
      <c r="N79" s="69"/>
      <c r="O79" s="69"/>
      <c r="P79" s="69"/>
      <c r="Q79" s="69"/>
      <c r="R79" s="69"/>
      <c r="S79" s="69"/>
      <c r="T79" s="68"/>
      <c r="U79" s="69"/>
      <c r="V79" s="69"/>
      <c r="W79" s="69"/>
      <c r="X79" s="69"/>
      <c r="Y79" s="69"/>
      <c r="Z79" s="69"/>
    </row>
    <row r="80" spans="1:26" ht="26" hidden="1">
      <c r="A80" s="67" t="s">
        <v>372</v>
      </c>
      <c r="B80" s="67">
        <v>231</v>
      </c>
      <c r="C80" s="67">
        <v>830</v>
      </c>
      <c r="D80" s="68">
        <f>E80+K80+S80+T80</f>
        <v>0</v>
      </c>
      <c r="E80" s="68">
        <f>SUM(F80:J80)</f>
        <v>0</v>
      </c>
      <c r="F80" s="68">
        <f>F82</f>
        <v>0</v>
      </c>
      <c r="G80" s="68">
        <f>G82</f>
        <v>0</v>
      </c>
      <c r="H80" s="68">
        <f>H82</f>
        <v>0</v>
      </c>
      <c r="I80" s="68">
        <f>I82</f>
        <v>0</v>
      </c>
      <c r="J80" s="68">
        <f>J82</f>
        <v>0</v>
      </c>
      <c r="K80" s="68">
        <f>SUM(L80:R80)</f>
        <v>0</v>
      </c>
      <c r="L80" s="68">
        <f t="shared" ref="L80:S80" si="23">L82</f>
        <v>0</v>
      </c>
      <c r="M80" s="68">
        <f t="shared" si="23"/>
        <v>0</v>
      </c>
      <c r="N80" s="68">
        <f t="shared" si="23"/>
        <v>0</v>
      </c>
      <c r="O80" s="68">
        <f t="shared" si="23"/>
        <v>0</v>
      </c>
      <c r="P80" s="68">
        <f t="shared" si="23"/>
        <v>0</v>
      </c>
      <c r="Q80" s="68">
        <f t="shared" si="23"/>
        <v>0</v>
      </c>
      <c r="R80" s="68">
        <f t="shared" si="23"/>
        <v>0</v>
      </c>
      <c r="S80" s="68">
        <f t="shared" si="23"/>
        <v>0</v>
      </c>
      <c r="T80" s="68">
        <f>SUM(U80:Z80)</f>
        <v>0</v>
      </c>
      <c r="U80" s="68">
        <f t="shared" ref="U80:Z80" si="24">U82</f>
        <v>0</v>
      </c>
      <c r="V80" s="68">
        <f t="shared" si="24"/>
        <v>0</v>
      </c>
      <c r="W80" s="68">
        <f t="shared" si="24"/>
        <v>0</v>
      </c>
      <c r="X80" s="68">
        <f t="shared" si="24"/>
        <v>0</v>
      </c>
      <c r="Y80" s="68">
        <f t="shared" si="24"/>
        <v>0</v>
      </c>
      <c r="Z80" s="68">
        <f t="shared" si="24"/>
        <v>0</v>
      </c>
    </row>
    <row r="81" spans="1:26" hidden="1">
      <c r="A81" s="67" t="s">
        <v>225</v>
      </c>
      <c r="B81" s="83"/>
      <c r="C81" s="83"/>
      <c r="D81" s="68"/>
      <c r="E81" s="84"/>
      <c r="F81" s="85"/>
      <c r="G81" s="85"/>
      <c r="H81" s="85"/>
      <c r="I81" s="85"/>
      <c r="J81" s="85"/>
      <c r="K81" s="84"/>
      <c r="L81" s="85"/>
      <c r="M81" s="85"/>
      <c r="N81" s="85"/>
      <c r="O81" s="85"/>
      <c r="P81" s="85"/>
      <c r="Q81" s="85"/>
      <c r="R81" s="85"/>
      <c r="S81" s="85"/>
      <c r="T81" s="84"/>
      <c r="U81" s="85"/>
      <c r="V81" s="85"/>
      <c r="W81" s="85"/>
      <c r="X81" s="85"/>
      <c r="Y81" s="85"/>
      <c r="Z81" s="85"/>
    </row>
    <row r="82" spans="1:26" ht="65" hidden="1">
      <c r="A82" s="67" t="s">
        <v>373</v>
      </c>
      <c r="B82" s="67">
        <v>231.1</v>
      </c>
      <c r="C82" s="67" t="s">
        <v>374</v>
      </c>
      <c r="D82" s="68">
        <f>E82+K82+S82+T82</f>
        <v>0</v>
      </c>
      <c r="E82" s="68">
        <f>SUM(F82:J82)</f>
        <v>0</v>
      </c>
      <c r="F82" s="69"/>
      <c r="G82" s="69"/>
      <c r="H82" s="69"/>
      <c r="I82" s="69"/>
      <c r="J82" s="69"/>
      <c r="K82" s="68">
        <f>SUM(L82:R82)</f>
        <v>0</v>
      </c>
      <c r="L82" s="69"/>
      <c r="M82" s="69"/>
      <c r="N82" s="69"/>
      <c r="O82" s="69"/>
      <c r="P82" s="69"/>
      <c r="Q82" s="69"/>
      <c r="R82" s="69"/>
      <c r="S82" s="69"/>
      <c r="T82" s="68">
        <f>SUM(U82:Z82)</f>
        <v>0</v>
      </c>
      <c r="U82" s="69"/>
      <c r="V82" s="69"/>
      <c r="W82" s="69"/>
      <c r="X82" s="69"/>
      <c r="Y82" s="69"/>
      <c r="Z82" s="69"/>
    </row>
    <row r="83" spans="1:26" ht="26">
      <c r="A83" s="67" t="s">
        <v>375</v>
      </c>
      <c r="B83" s="67">
        <v>232</v>
      </c>
      <c r="C83" s="67">
        <v>850</v>
      </c>
      <c r="D83" s="68">
        <f>E83+K83+S83+T83</f>
        <v>1300</v>
      </c>
      <c r="E83" s="68">
        <f>SUM(F83:J83)</f>
        <v>0</v>
      </c>
      <c r="F83" s="68">
        <f>SUM(F85:F88)</f>
        <v>0</v>
      </c>
      <c r="G83" s="68">
        <f>SUM(G85:G88)</f>
        <v>0</v>
      </c>
      <c r="H83" s="68">
        <f>SUM(H85:H88)</f>
        <v>0</v>
      </c>
      <c r="I83" s="68">
        <f>SUM(I85:I88)</f>
        <v>0</v>
      </c>
      <c r="J83" s="68">
        <f>SUM(J85:J88)</f>
        <v>0</v>
      </c>
      <c r="K83" s="68">
        <f>SUM(L83:R83)</f>
        <v>1300</v>
      </c>
      <c r="L83" s="68">
        <f t="shared" ref="L83:S83" si="25">SUM(L85:L88)</f>
        <v>0</v>
      </c>
      <c r="M83" s="68">
        <f t="shared" si="25"/>
        <v>1300</v>
      </c>
      <c r="N83" s="68">
        <f t="shared" si="25"/>
        <v>0</v>
      </c>
      <c r="O83" s="68">
        <f t="shared" si="25"/>
        <v>0</v>
      </c>
      <c r="P83" s="68">
        <f t="shared" si="25"/>
        <v>0</v>
      </c>
      <c r="Q83" s="68">
        <f t="shared" si="25"/>
        <v>0</v>
      </c>
      <c r="R83" s="68">
        <f t="shared" si="25"/>
        <v>0</v>
      </c>
      <c r="S83" s="68">
        <f t="shared" si="25"/>
        <v>0</v>
      </c>
      <c r="T83" s="68">
        <f>SUM(U83:Z83)</f>
        <v>0</v>
      </c>
      <c r="U83" s="68">
        <f t="shared" ref="U83:Z83" si="26">SUM(U85:U88)</f>
        <v>0</v>
      </c>
      <c r="V83" s="68">
        <f t="shared" si="26"/>
        <v>0</v>
      </c>
      <c r="W83" s="68">
        <f t="shared" si="26"/>
        <v>0</v>
      </c>
      <c r="X83" s="68">
        <f t="shared" si="26"/>
        <v>0</v>
      </c>
      <c r="Y83" s="68">
        <f t="shared" si="26"/>
        <v>0</v>
      </c>
      <c r="Z83" s="68">
        <f t="shared" si="26"/>
        <v>0</v>
      </c>
    </row>
    <row r="84" spans="1:26">
      <c r="A84" s="67" t="s">
        <v>225</v>
      </c>
      <c r="B84" s="79"/>
      <c r="C84" s="79"/>
      <c r="D84" s="68"/>
      <c r="E84" s="68"/>
      <c r="F84" s="69"/>
      <c r="G84" s="69"/>
      <c r="H84" s="69"/>
      <c r="I84" s="69"/>
      <c r="J84" s="69"/>
      <c r="K84" s="68"/>
      <c r="L84" s="69"/>
      <c r="M84" s="69"/>
      <c r="N84" s="69"/>
      <c r="O84" s="69"/>
      <c r="P84" s="69"/>
      <c r="Q84" s="69"/>
      <c r="R84" s="69"/>
      <c r="S84" s="69"/>
      <c r="T84" s="68"/>
      <c r="U84" s="69"/>
      <c r="V84" s="69"/>
      <c r="W84" s="69"/>
      <c r="X84" s="69"/>
      <c r="Y84" s="69"/>
      <c r="Z84" s="69"/>
    </row>
    <row r="85" spans="1:26" ht="39">
      <c r="A85" s="67" t="s">
        <v>376</v>
      </c>
      <c r="B85" s="67">
        <v>232.1</v>
      </c>
      <c r="C85" s="67" t="s">
        <v>377</v>
      </c>
      <c r="D85" s="68">
        <f>E85+K85+S85+T85</f>
        <v>1300</v>
      </c>
      <c r="E85" s="68">
        <f>SUM(F85:J85)</f>
        <v>0</v>
      </c>
      <c r="F85" s="69"/>
      <c r="G85" s="69"/>
      <c r="H85" s="69"/>
      <c r="I85" s="69"/>
      <c r="J85" s="69"/>
      <c r="K85" s="68">
        <f>SUM(L85:R85)</f>
        <v>1300</v>
      </c>
      <c r="L85" s="69"/>
      <c r="M85" s="69">
        <v>1300</v>
      </c>
      <c r="N85" s="69"/>
      <c r="O85" s="69"/>
      <c r="P85" s="69"/>
      <c r="Q85" s="69"/>
      <c r="R85" s="69"/>
      <c r="S85" s="69"/>
      <c r="T85" s="68">
        <f>SUM(U85:Z85)</f>
        <v>0</v>
      </c>
      <c r="U85" s="69"/>
      <c r="V85" s="69"/>
      <c r="W85" s="69"/>
      <c r="X85" s="69"/>
      <c r="Y85" s="69"/>
      <c r="Z85" s="69"/>
    </row>
    <row r="86" spans="1:26" ht="26" hidden="1">
      <c r="A86" s="67" t="s">
        <v>378</v>
      </c>
      <c r="B86" s="67">
        <v>232.2</v>
      </c>
      <c r="C86" s="67" t="s">
        <v>379</v>
      </c>
      <c r="D86" s="68">
        <f>E86+K86+S86+T86</f>
        <v>0</v>
      </c>
      <c r="E86" s="68">
        <f>SUM(F86:J86)</f>
        <v>0</v>
      </c>
      <c r="F86" s="69"/>
      <c r="G86" s="69"/>
      <c r="H86" s="69"/>
      <c r="I86" s="69"/>
      <c r="J86" s="69"/>
      <c r="K86" s="68">
        <f>SUM(L86:R86)</f>
        <v>0</v>
      </c>
      <c r="L86" s="69"/>
      <c r="M86" s="69"/>
      <c r="N86" s="69"/>
      <c r="O86" s="69"/>
      <c r="P86" s="69"/>
      <c r="Q86" s="69"/>
      <c r="R86" s="69"/>
      <c r="S86" s="69"/>
      <c r="T86" s="68">
        <f>SUM(U86:Z86)</f>
        <v>0</v>
      </c>
      <c r="U86" s="69"/>
      <c r="V86" s="69"/>
      <c r="W86" s="69"/>
      <c r="X86" s="69"/>
      <c r="Y86" s="69"/>
      <c r="Z86" s="69"/>
    </row>
    <row r="87" spans="1:26" ht="52" hidden="1">
      <c r="A87" s="67" t="s">
        <v>380</v>
      </c>
      <c r="B87" s="67">
        <v>232.3</v>
      </c>
      <c r="C87" s="67" t="s">
        <v>381</v>
      </c>
      <c r="D87" s="68">
        <f>E87+K87+S87+T87</f>
        <v>0</v>
      </c>
      <c r="E87" s="68">
        <f>SUM(F87:J87)</f>
        <v>0</v>
      </c>
      <c r="F87" s="69"/>
      <c r="G87" s="69"/>
      <c r="H87" s="69"/>
      <c r="I87" s="69"/>
      <c r="J87" s="69"/>
      <c r="K87" s="68">
        <f>SUM(L87:R87)</f>
        <v>0</v>
      </c>
      <c r="L87" s="69"/>
      <c r="M87" s="69"/>
      <c r="N87" s="69"/>
      <c r="O87" s="69"/>
      <c r="P87" s="69"/>
      <c r="Q87" s="69"/>
      <c r="R87" s="69"/>
      <c r="S87" s="69"/>
      <c r="T87" s="68">
        <f>SUM(U87:Z87)</f>
        <v>0</v>
      </c>
      <c r="U87" s="69"/>
      <c r="V87" s="69"/>
      <c r="W87" s="69"/>
      <c r="X87" s="69"/>
      <c r="Y87" s="69"/>
      <c r="Z87" s="69"/>
    </row>
    <row r="88" spans="1:26" ht="26" hidden="1">
      <c r="A88" s="67" t="s">
        <v>382</v>
      </c>
      <c r="B88" s="67">
        <v>232.4</v>
      </c>
      <c r="C88" s="67" t="s">
        <v>383</v>
      </c>
      <c r="D88" s="68">
        <f>E88+K88+S88+T88</f>
        <v>0</v>
      </c>
      <c r="E88" s="68">
        <f>SUM(F88:J88)</f>
        <v>0</v>
      </c>
      <c r="F88" s="69"/>
      <c r="G88" s="69"/>
      <c r="H88" s="69"/>
      <c r="I88" s="69"/>
      <c r="J88" s="69"/>
      <c r="K88" s="68">
        <f>SUM(L88:R88)</f>
        <v>0</v>
      </c>
      <c r="L88" s="69"/>
      <c r="M88" s="69"/>
      <c r="N88" s="69"/>
      <c r="O88" s="69"/>
      <c r="P88" s="69"/>
      <c r="Q88" s="69"/>
      <c r="R88" s="69"/>
      <c r="S88" s="69"/>
      <c r="T88" s="68">
        <f>SUM(U88:Z88)</f>
        <v>0</v>
      </c>
      <c r="U88" s="69"/>
      <c r="V88" s="69"/>
      <c r="W88" s="69"/>
      <c r="X88" s="69"/>
      <c r="Y88" s="69"/>
      <c r="Z88" s="69"/>
    </row>
    <row r="89" spans="1:26" hidden="1">
      <c r="A89" s="67"/>
      <c r="B89" s="67"/>
      <c r="C89" s="67"/>
      <c r="D89" s="68"/>
      <c r="E89" s="68"/>
      <c r="F89" s="69"/>
      <c r="G89" s="69"/>
      <c r="H89" s="69"/>
      <c r="I89" s="69"/>
      <c r="J89" s="69"/>
      <c r="K89" s="68"/>
      <c r="L89" s="69"/>
      <c r="M89" s="69"/>
      <c r="N89" s="69"/>
      <c r="O89" s="69"/>
      <c r="P89" s="69"/>
      <c r="Q89" s="69"/>
      <c r="R89" s="69"/>
      <c r="S89" s="69"/>
      <c r="T89" s="68"/>
      <c r="U89" s="69"/>
      <c r="V89" s="69"/>
      <c r="W89" s="69"/>
      <c r="X89" s="69"/>
      <c r="Y89" s="69"/>
      <c r="Z89" s="69"/>
    </row>
    <row r="90" spans="1:26" ht="26" hidden="1">
      <c r="A90" s="67" t="s">
        <v>384</v>
      </c>
      <c r="B90" s="67">
        <v>240</v>
      </c>
      <c r="C90" s="67"/>
      <c r="D90" s="68">
        <f>E90+K90+S90+T90</f>
        <v>0</v>
      </c>
      <c r="E90" s="68"/>
      <c r="F90" s="69"/>
      <c r="G90" s="69"/>
      <c r="H90" s="69"/>
      <c r="I90" s="69"/>
      <c r="J90" s="69"/>
      <c r="K90" s="68"/>
      <c r="L90" s="69"/>
      <c r="M90" s="69"/>
      <c r="N90" s="69"/>
      <c r="O90" s="69"/>
      <c r="P90" s="69"/>
      <c r="Q90" s="69"/>
      <c r="R90" s="69"/>
      <c r="S90" s="69"/>
      <c r="T90" s="68">
        <f>SUM(U90:Z90)</f>
        <v>0</v>
      </c>
      <c r="U90" s="69"/>
      <c r="V90" s="69"/>
      <c r="W90" s="69"/>
      <c r="X90" s="69"/>
      <c r="Y90" s="69"/>
      <c r="Z90" s="69"/>
    </row>
    <row r="91" spans="1:26" hidden="1">
      <c r="A91" s="67"/>
      <c r="B91" s="67"/>
      <c r="C91" s="67"/>
      <c r="D91" s="68"/>
      <c r="E91" s="68"/>
      <c r="F91" s="69"/>
      <c r="G91" s="69"/>
      <c r="H91" s="69"/>
      <c r="I91" s="69"/>
      <c r="J91" s="69"/>
      <c r="K91" s="68"/>
      <c r="L91" s="69"/>
      <c r="M91" s="69"/>
      <c r="N91" s="69"/>
      <c r="O91" s="69"/>
      <c r="P91" s="69"/>
      <c r="Q91" s="69"/>
      <c r="R91" s="69"/>
      <c r="S91" s="69"/>
      <c r="T91" s="68"/>
      <c r="U91" s="69"/>
      <c r="V91" s="69"/>
      <c r="W91" s="69"/>
      <c r="X91" s="69"/>
      <c r="Y91" s="69"/>
      <c r="Z91" s="69"/>
    </row>
    <row r="92" spans="1:26" ht="26" hidden="1">
      <c r="A92" s="67" t="s">
        <v>385</v>
      </c>
      <c r="B92" s="67">
        <v>250</v>
      </c>
      <c r="C92" s="67"/>
      <c r="D92" s="68">
        <f>E92+K92+S92+T92</f>
        <v>0</v>
      </c>
      <c r="E92" s="68">
        <f>SUM(F92:J92)</f>
        <v>0</v>
      </c>
      <c r="F92" s="69"/>
      <c r="G92" s="69"/>
      <c r="H92" s="69"/>
      <c r="I92" s="69"/>
      <c r="J92" s="69"/>
      <c r="K92" s="68">
        <f>SUM(L92:R92)</f>
        <v>0</v>
      </c>
      <c r="L92" s="69"/>
      <c r="M92" s="69"/>
      <c r="N92" s="69"/>
      <c r="O92" s="69"/>
      <c r="P92" s="69"/>
      <c r="Q92" s="69"/>
      <c r="R92" s="69"/>
      <c r="S92" s="69"/>
      <c r="T92" s="68">
        <f>SUM(U92:Z92)</f>
        <v>0</v>
      </c>
      <c r="U92" s="69"/>
      <c r="V92" s="69"/>
      <c r="W92" s="69"/>
      <c r="X92" s="69"/>
      <c r="Y92" s="69"/>
      <c r="Z92" s="69"/>
    </row>
    <row r="93" spans="1:26">
      <c r="A93" s="67"/>
      <c r="B93" s="67"/>
      <c r="C93" s="67"/>
      <c r="D93" s="68"/>
      <c r="E93" s="68"/>
      <c r="F93" s="69"/>
      <c r="G93" s="69"/>
      <c r="H93" s="69"/>
      <c r="I93" s="69"/>
      <c r="J93" s="69"/>
      <c r="K93" s="68"/>
      <c r="L93" s="69"/>
      <c r="M93" s="69"/>
      <c r="N93" s="69"/>
      <c r="O93" s="69"/>
      <c r="P93" s="69"/>
      <c r="Q93" s="69"/>
      <c r="R93" s="69"/>
      <c r="S93" s="69"/>
      <c r="T93" s="68"/>
      <c r="U93" s="69"/>
      <c r="V93" s="69"/>
      <c r="W93" s="69"/>
      <c r="X93" s="69"/>
      <c r="Y93" s="69"/>
      <c r="Z93" s="69"/>
    </row>
    <row r="94" spans="1:26" ht="24.75" customHeight="1">
      <c r="A94" s="67" t="s">
        <v>386</v>
      </c>
      <c r="B94" s="67">
        <v>260</v>
      </c>
      <c r="C94" s="67">
        <v>200</v>
      </c>
      <c r="D94" s="68">
        <f>E94+K94+S94+T94</f>
        <v>2041700</v>
      </c>
      <c r="E94" s="68">
        <f>SUM(F94:J94)</f>
        <v>1254700</v>
      </c>
      <c r="F94" s="68">
        <f>F96</f>
        <v>0</v>
      </c>
      <c r="G94" s="68">
        <f>G96</f>
        <v>0</v>
      </c>
      <c r="H94" s="68">
        <f>H96</f>
        <v>1065300</v>
      </c>
      <c r="I94" s="68">
        <f>I96</f>
        <v>0</v>
      </c>
      <c r="J94" s="68">
        <f>J96</f>
        <v>189400</v>
      </c>
      <c r="K94" s="68">
        <f>SUM(L94:R94)</f>
        <v>752000</v>
      </c>
      <c r="L94" s="68">
        <f t="shared" ref="L94:S94" si="27">L96</f>
        <v>0</v>
      </c>
      <c r="M94" s="68">
        <f t="shared" si="27"/>
        <v>0</v>
      </c>
      <c r="N94" s="68">
        <f t="shared" si="27"/>
        <v>0</v>
      </c>
      <c r="O94" s="68">
        <f t="shared" si="27"/>
        <v>0</v>
      </c>
      <c r="P94" s="68">
        <f t="shared" si="27"/>
        <v>0</v>
      </c>
      <c r="Q94" s="68">
        <f t="shared" si="27"/>
        <v>752000</v>
      </c>
      <c r="R94" s="68">
        <f t="shared" si="27"/>
        <v>0</v>
      </c>
      <c r="S94" s="68">
        <f t="shared" si="27"/>
        <v>0</v>
      </c>
      <c r="T94" s="68">
        <f>SUM(U94:Z94)</f>
        <v>35000</v>
      </c>
      <c r="U94" s="68">
        <f t="shared" ref="U94:Z94" si="28">U96</f>
        <v>0</v>
      </c>
      <c r="V94" s="68">
        <f t="shared" si="28"/>
        <v>0</v>
      </c>
      <c r="W94" s="68">
        <f t="shared" si="28"/>
        <v>0</v>
      </c>
      <c r="X94" s="68">
        <f t="shared" si="28"/>
        <v>0</v>
      </c>
      <c r="Y94" s="68">
        <f t="shared" si="28"/>
        <v>35000</v>
      </c>
      <c r="Z94" s="68">
        <f t="shared" si="28"/>
        <v>0</v>
      </c>
    </row>
    <row r="95" spans="1:26">
      <c r="A95" s="67" t="s">
        <v>227</v>
      </c>
      <c r="B95" s="67"/>
      <c r="C95" s="67"/>
      <c r="D95" s="68">
        <f>E95+K95+S95+T95</f>
        <v>0</v>
      </c>
      <c r="E95" s="68"/>
      <c r="F95" s="69"/>
      <c r="G95" s="69"/>
      <c r="H95" s="69"/>
      <c r="I95" s="69"/>
      <c r="J95" s="69"/>
      <c r="K95" s="68"/>
      <c r="L95" s="69"/>
      <c r="M95" s="69"/>
      <c r="N95" s="69"/>
      <c r="O95" s="69"/>
      <c r="P95" s="69"/>
      <c r="Q95" s="69"/>
      <c r="R95" s="69"/>
      <c r="S95" s="69"/>
      <c r="T95" s="68"/>
      <c r="U95" s="69"/>
      <c r="V95" s="69"/>
      <c r="W95" s="69"/>
      <c r="X95" s="69"/>
      <c r="Y95" s="69"/>
      <c r="Z95" s="69"/>
    </row>
    <row r="96" spans="1:26" ht="26">
      <c r="A96" s="67" t="s">
        <v>387</v>
      </c>
      <c r="B96" s="67">
        <v>261</v>
      </c>
      <c r="C96" s="67">
        <v>240</v>
      </c>
      <c r="D96" s="68">
        <f>E96+K96+S96+T96</f>
        <v>2041700</v>
      </c>
      <c r="E96" s="68">
        <f>SUM(F96:J96)</f>
        <v>1254700</v>
      </c>
      <c r="F96" s="68">
        <f>SUM(F98:F133)</f>
        <v>0</v>
      </c>
      <c r="G96" s="68">
        <f>SUM(G98:G133)</f>
        <v>0</v>
      </c>
      <c r="H96" s="68">
        <f>SUM(H98:H133)</f>
        <v>1065300</v>
      </c>
      <c r="I96" s="68">
        <f>SUM(I98:I133)</f>
        <v>0</v>
      </c>
      <c r="J96" s="68">
        <f>SUM(J98:J133)</f>
        <v>189400</v>
      </c>
      <c r="K96" s="68">
        <f>SUM(L96:R96)</f>
        <v>752000</v>
      </c>
      <c r="L96" s="68">
        <f t="shared" ref="L96:S96" si="29">SUM(L98:L133)</f>
        <v>0</v>
      </c>
      <c r="M96" s="68">
        <f t="shared" si="29"/>
        <v>0</v>
      </c>
      <c r="N96" s="68">
        <f t="shared" si="29"/>
        <v>0</v>
      </c>
      <c r="O96" s="68">
        <f t="shared" si="29"/>
        <v>0</v>
      </c>
      <c r="P96" s="68">
        <f t="shared" si="29"/>
        <v>0</v>
      </c>
      <c r="Q96" s="68">
        <f t="shared" si="29"/>
        <v>752000</v>
      </c>
      <c r="R96" s="68">
        <f t="shared" si="29"/>
        <v>0</v>
      </c>
      <c r="S96" s="68">
        <f t="shared" si="29"/>
        <v>0</v>
      </c>
      <c r="T96" s="68">
        <f>SUM(U96:Z96)</f>
        <v>35000</v>
      </c>
      <c r="U96" s="68">
        <f t="shared" ref="U96:Z96" si="30">SUM(U98:U133)</f>
        <v>0</v>
      </c>
      <c r="V96" s="68">
        <f t="shared" si="30"/>
        <v>0</v>
      </c>
      <c r="W96" s="68">
        <f t="shared" si="30"/>
        <v>0</v>
      </c>
      <c r="X96" s="68">
        <f t="shared" si="30"/>
        <v>0</v>
      </c>
      <c r="Y96" s="68">
        <f t="shared" si="30"/>
        <v>35000</v>
      </c>
      <c r="Z96" s="68">
        <f t="shared" si="30"/>
        <v>0</v>
      </c>
    </row>
    <row r="97" spans="1:26">
      <c r="A97" s="67" t="s">
        <v>225</v>
      </c>
      <c r="B97" s="67"/>
      <c r="C97" s="67"/>
      <c r="D97" s="68"/>
      <c r="E97" s="68"/>
      <c r="F97" s="69"/>
      <c r="G97" s="69"/>
      <c r="H97" s="69"/>
      <c r="I97" s="69"/>
      <c r="J97" s="69"/>
      <c r="K97" s="68"/>
      <c r="L97" s="69"/>
      <c r="M97" s="69"/>
      <c r="N97" s="69"/>
      <c r="O97" s="69"/>
      <c r="P97" s="69"/>
      <c r="Q97" s="69"/>
      <c r="R97" s="69"/>
      <c r="S97" s="69"/>
      <c r="T97" s="68"/>
      <c r="U97" s="69"/>
      <c r="V97" s="69"/>
      <c r="W97" s="69"/>
      <c r="X97" s="69"/>
      <c r="Y97" s="69"/>
      <c r="Z97" s="69"/>
    </row>
    <row r="98" spans="1:26" ht="26" hidden="1">
      <c r="A98" s="67" t="s">
        <v>388</v>
      </c>
      <c r="B98" s="67">
        <v>261.10000000000002</v>
      </c>
      <c r="C98" s="67" t="s">
        <v>389</v>
      </c>
      <c r="D98" s="68">
        <f t="shared" ref="D98:D133" si="31">E98+K98+S98+T98</f>
        <v>0</v>
      </c>
      <c r="E98" s="68">
        <f t="shared" ref="E98:E133" si="32">SUM(F98:J98)</f>
        <v>0</v>
      </c>
      <c r="F98" s="69"/>
      <c r="G98" s="69"/>
      <c r="H98" s="69"/>
      <c r="I98" s="69"/>
      <c r="J98" s="69"/>
      <c r="K98" s="68">
        <f t="shared" ref="K98:K133" si="33">SUM(L98:R98)</f>
        <v>0</v>
      </c>
      <c r="L98" s="69"/>
      <c r="M98" s="69"/>
      <c r="N98" s="69"/>
      <c r="O98" s="69"/>
      <c r="P98" s="69"/>
      <c r="Q98" s="69"/>
      <c r="R98" s="69"/>
      <c r="S98" s="69"/>
      <c r="T98" s="68">
        <f>SUM(U98:Z98)</f>
        <v>0</v>
      </c>
      <c r="U98" s="69"/>
      <c r="V98" s="69"/>
      <c r="W98" s="69"/>
      <c r="X98" s="69"/>
      <c r="Y98" s="69"/>
      <c r="Z98" s="69"/>
    </row>
    <row r="99" spans="1:26" ht="26">
      <c r="A99" s="67" t="s">
        <v>390</v>
      </c>
      <c r="B99" s="67">
        <v>261.2</v>
      </c>
      <c r="C99" s="67" t="s">
        <v>391</v>
      </c>
      <c r="D99" s="68">
        <f t="shared" si="31"/>
        <v>0</v>
      </c>
      <c r="E99" s="68">
        <f t="shared" si="32"/>
        <v>0</v>
      </c>
      <c r="F99" s="69"/>
      <c r="G99" s="69"/>
      <c r="H99" s="69"/>
      <c r="I99" s="69"/>
      <c r="J99" s="69"/>
      <c r="K99" s="68">
        <f t="shared" si="33"/>
        <v>0</v>
      </c>
      <c r="L99" s="69"/>
      <c r="M99" s="69"/>
      <c r="N99" s="69"/>
      <c r="O99" s="69"/>
      <c r="P99" s="69"/>
      <c r="Q99" s="69"/>
      <c r="R99" s="69"/>
      <c r="S99" s="69"/>
      <c r="T99" s="68">
        <f>SUM(U99:Z99)</f>
        <v>0</v>
      </c>
      <c r="U99" s="69"/>
      <c r="V99" s="69"/>
      <c r="W99" s="69"/>
      <c r="X99" s="69"/>
      <c r="Y99" s="69"/>
      <c r="Z99" s="69"/>
    </row>
    <row r="100" spans="1:26" ht="78" hidden="1">
      <c r="A100" s="67" t="s">
        <v>392</v>
      </c>
      <c r="B100" s="67">
        <v>261.3</v>
      </c>
      <c r="C100" s="67" t="s">
        <v>393</v>
      </c>
      <c r="D100" s="68">
        <f t="shared" si="31"/>
        <v>0</v>
      </c>
      <c r="E100" s="68">
        <f t="shared" si="32"/>
        <v>0</v>
      </c>
      <c r="F100" s="69"/>
      <c r="G100" s="69"/>
      <c r="H100" s="69"/>
      <c r="I100" s="69"/>
      <c r="J100" s="69"/>
      <c r="K100" s="68">
        <f t="shared" si="33"/>
        <v>0</v>
      </c>
      <c r="L100" s="69"/>
      <c r="M100" s="69"/>
      <c r="N100" s="69"/>
      <c r="O100" s="69"/>
      <c r="P100" s="69"/>
      <c r="Q100" s="69"/>
      <c r="R100" s="69"/>
      <c r="S100" s="69"/>
      <c r="T100" s="68">
        <f t="shared" ref="T100:T120" si="34">SUM(U100:Z100)</f>
        <v>0</v>
      </c>
      <c r="U100" s="69"/>
      <c r="V100" s="69"/>
      <c r="W100" s="69"/>
      <c r="X100" s="69"/>
      <c r="Y100" s="69"/>
      <c r="Z100" s="69"/>
    </row>
    <row r="101" spans="1:26" ht="26" hidden="1">
      <c r="A101" s="67" t="s">
        <v>394</v>
      </c>
      <c r="B101" s="67">
        <v>261.39999999999998</v>
      </c>
      <c r="C101" s="67" t="s">
        <v>395</v>
      </c>
      <c r="D101" s="68">
        <f t="shared" si="31"/>
        <v>0</v>
      </c>
      <c r="E101" s="68">
        <f t="shared" si="32"/>
        <v>0</v>
      </c>
      <c r="F101" s="69"/>
      <c r="G101" s="69"/>
      <c r="H101" s="69"/>
      <c r="I101" s="69"/>
      <c r="J101" s="69"/>
      <c r="K101" s="68">
        <f t="shared" si="33"/>
        <v>0</v>
      </c>
      <c r="L101" s="69"/>
      <c r="M101" s="69"/>
      <c r="N101" s="69"/>
      <c r="O101" s="69"/>
      <c r="P101" s="69"/>
      <c r="Q101" s="69"/>
      <c r="R101" s="69"/>
      <c r="S101" s="69"/>
      <c r="T101" s="68">
        <f t="shared" si="34"/>
        <v>0</v>
      </c>
      <c r="U101" s="69"/>
      <c r="V101" s="69"/>
      <c r="W101" s="69"/>
      <c r="X101" s="69"/>
      <c r="Y101" s="69"/>
      <c r="Z101" s="69"/>
    </row>
    <row r="102" spans="1:26" ht="26">
      <c r="A102" s="67" t="s">
        <v>396</v>
      </c>
      <c r="B102" s="67">
        <v>261.5</v>
      </c>
      <c r="C102" s="67" t="s">
        <v>627</v>
      </c>
      <c r="D102" s="68">
        <f t="shared" si="31"/>
        <v>18400</v>
      </c>
      <c r="E102" s="68">
        <f t="shared" si="32"/>
        <v>18400</v>
      </c>
      <c r="F102" s="69"/>
      <c r="G102" s="69"/>
      <c r="H102" s="69">
        <v>18400</v>
      </c>
      <c r="I102" s="69"/>
      <c r="J102" s="69"/>
      <c r="K102" s="68">
        <f t="shared" si="33"/>
        <v>0</v>
      </c>
      <c r="L102" s="69"/>
      <c r="M102" s="69"/>
      <c r="N102" s="69"/>
      <c r="O102" s="69"/>
      <c r="P102" s="69"/>
      <c r="Q102" s="69"/>
      <c r="R102" s="69"/>
      <c r="S102" s="69"/>
      <c r="T102" s="68">
        <f t="shared" si="34"/>
        <v>0</v>
      </c>
      <c r="U102" s="69"/>
      <c r="V102" s="69"/>
      <c r="W102" s="69"/>
      <c r="X102" s="69"/>
      <c r="Y102" s="69"/>
      <c r="Z102" s="69"/>
    </row>
    <row r="103" spans="1:26" ht="26">
      <c r="A103" s="67" t="s">
        <v>397</v>
      </c>
      <c r="B103" s="67">
        <v>261.60000000000002</v>
      </c>
      <c r="C103" s="67" t="s">
        <v>686</v>
      </c>
      <c r="D103" s="68">
        <f t="shared" si="31"/>
        <v>48000</v>
      </c>
      <c r="E103" s="68">
        <f t="shared" si="32"/>
        <v>48000</v>
      </c>
      <c r="F103" s="69"/>
      <c r="G103" s="69"/>
      <c r="H103" s="69">
        <v>48000</v>
      </c>
      <c r="I103" s="69"/>
      <c r="J103" s="69"/>
      <c r="K103" s="68">
        <f t="shared" si="33"/>
        <v>0</v>
      </c>
      <c r="L103" s="69"/>
      <c r="M103" s="69"/>
      <c r="N103" s="69"/>
      <c r="O103" s="69"/>
      <c r="P103" s="69"/>
      <c r="Q103" s="69"/>
      <c r="R103" s="69"/>
      <c r="S103" s="69"/>
      <c r="T103" s="68">
        <f t="shared" si="34"/>
        <v>0</v>
      </c>
      <c r="U103" s="69"/>
      <c r="V103" s="69"/>
      <c r="W103" s="69"/>
      <c r="X103" s="69"/>
      <c r="Y103" s="69"/>
      <c r="Z103" s="69"/>
    </row>
    <row r="104" spans="1:26" ht="26">
      <c r="A104" s="67" t="s">
        <v>352</v>
      </c>
      <c r="B104" s="67">
        <v>261.7</v>
      </c>
      <c r="C104" s="67" t="s">
        <v>628</v>
      </c>
      <c r="D104" s="68">
        <f t="shared" si="31"/>
        <v>752000</v>
      </c>
      <c r="E104" s="68">
        <f t="shared" si="32"/>
        <v>0</v>
      </c>
      <c r="F104" s="69"/>
      <c r="G104" s="69"/>
      <c r="H104" s="69"/>
      <c r="I104" s="69"/>
      <c r="J104" s="69"/>
      <c r="K104" s="68">
        <f t="shared" si="33"/>
        <v>752000</v>
      </c>
      <c r="L104" s="69"/>
      <c r="M104" s="69"/>
      <c r="N104" s="69"/>
      <c r="O104" s="69"/>
      <c r="P104" s="69"/>
      <c r="Q104" s="69">
        <v>752000</v>
      </c>
      <c r="R104" s="69"/>
      <c r="S104" s="69"/>
      <c r="T104" s="68">
        <f t="shared" si="34"/>
        <v>0</v>
      </c>
      <c r="U104" s="69"/>
      <c r="V104" s="69"/>
      <c r="W104" s="69"/>
      <c r="X104" s="69"/>
      <c r="Y104" s="69"/>
      <c r="Z104" s="69"/>
    </row>
    <row r="105" spans="1:26" ht="26">
      <c r="A105" s="67" t="s">
        <v>398</v>
      </c>
      <c r="B105" s="67">
        <v>261.8</v>
      </c>
      <c r="C105" s="67" t="s">
        <v>629</v>
      </c>
      <c r="D105" s="68">
        <f t="shared" si="31"/>
        <v>443800</v>
      </c>
      <c r="E105" s="68">
        <f t="shared" si="32"/>
        <v>443800</v>
      </c>
      <c r="F105" s="69"/>
      <c r="G105" s="69"/>
      <c r="H105" s="69">
        <v>443800</v>
      </c>
      <c r="I105" s="69"/>
      <c r="J105" s="69"/>
      <c r="K105" s="68">
        <f t="shared" si="33"/>
        <v>0</v>
      </c>
      <c r="L105" s="69"/>
      <c r="M105" s="69"/>
      <c r="N105" s="69"/>
      <c r="O105" s="69"/>
      <c r="P105" s="69"/>
      <c r="Q105" s="69"/>
      <c r="R105" s="69"/>
      <c r="S105" s="69"/>
      <c r="T105" s="68">
        <f t="shared" si="34"/>
        <v>0</v>
      </c>
      <c r="U105" s="69"/>
      <c r="V105" s="69"/>
      <c r="W105" s="69"/>
      <c r="X105" s="69"/>
      <c r="Y105" s="69"/>
      <c r="Z105" s="69"/>
    </row>
    <row r="106" spans="1:26" ht="26">
      <c r="A106" s="67" t="s">
        <v>399</v>
      </c>
      <c r="B106" s="67">
        <v>261.89999999999998</v>
      </c>
      <c r="C106" s="67" t="s">
        <v>630</v>
      </c>
      <c r="D106" s="68">
        <f t="shared" si="31"/>
        <v>206000</v>
      </c>
      <c r="E106" s="68">
        <f t="shared" si="32"/>
        <v>206000</v>
      </c>
      <c r="F106" s="69"/>
      <c r="G106" s="69"/>
      <c r="H106" s="69">
        <v>206000</v>
      </c>
      <c r="I106" s="69"/>
      <c r="J106" s="69"/>
      <c r="K106" s="68">
        <f t="shared" si="33"/>
        <v>0</v>
      </c>
      <c r="L106" s="69"/>
      <c r="M106" s="69"/>
      <c r="N106" s="69"/>
      <c r="O106" s="69"/>
      <c r="P106" s="69"/>
      <c r="Q106" s="69"/>
      <c r="R106" s="69"/>
      <c r="S106" s="69"/>
      <c r="T106" s="68">
        <f t="shared" si="34"/>
        <v>0</v>
      </c>
      <c r="U106" s="69"/>
      <c r="V106" s="69"/>
      <c r="W106" s="69"/>
      <c r="X106" s="69"/>
      <c r="Y106" s="69"/>
      <c r="Z106" s="69"/>
    </row>
    <row r="107" spans="1:26" ht="39">
      <c r="A107" s="67" t="s">
        <v>400</v>
      </c>
      <c r="B107" s="67">
        <v>261.10000000000002</v>
      </c>
      <c r="C107" s="67" t="s">
        <v>631</v>
      </c>
      <c r="D107" s="68">
        <f t="shared" si="31"/>
        <v>10200</v>
      </c>
      <c r="E107" s="68">
        <f t="shared" si="32"/>
        <v>10200</v>
      </c>
      <c r="F107" s="69"/>
      <c r="G107" s="69"/>
      <c r="H107" s="69">
        <v>10200</v>
      </c>
      <c r="I107" s="69"/>
      <c r="J107" s="69"/>
      <c r="K107" s="68">
        <f t="shared" si="33"/>
        <v>0</v>
      </c>
      <c r="L107" s="69"/>
      <c r="M107" s="69"/>
      <c r="N107" s="69"/>
      <c r="O107" s="69"/>
      <c r="P107" s="69"/>
      <c r="Q107" s="69"/>
      <c r="R107" s="69"/>
      <c r="S107" s="69"/>
      <c r="T107" s="68">
        <f t="shared" si="34"/>
        <v>0</v>
      </c>
      <c r="U107" s="69"/>
      <c r="V107" s="69"/>
      <c r="W107" s="69"/>
      <c r="X107" s="69"/>
      <c r="Y107" s="69"/>
      <c r="Z107" s="69"/>
    </row>
    <row r="108" spans="1:26" ht="26">
      <c r="A108" s="67" t="s">
        <v>401</v>
      </c>
      <c r="B108" s="67">
        <v>261.11</v>
      </c>
      <c r="C108" s="67" t="s">
        <v>632</v>
      </c>
      <c r="D108" s="68">
        <f t="shared" si="31"/>
        <v>11900</v>
      </c>
      <c r="E108" s="68">
        <f t="shared" si="32"/>
        <v>11900</v>
      </c>
      <c r="F108" s="69"/>
      <c r="G108" s="69"/>
      <c r="H108" s="69">
        <v>11900</v>
      </c>
      <c r="I108" s="69"/>
      <c r="J108" s="69"/>
      <c r="K108" s="68">
        <f t="shared" si="33"/>
        <v>0</v>
      </c>
      <c r="L108" s="69"/>
      <c r="M108" s="69"/>
      <c r="N108" s="69"/>
      <c r="O108" s="69"/>
      <c r="P108" s="69"/>
      <c r="Q108" s="69"/>
      <c r="R108" s="69"/>
      <c r="S108" s="69"/>
      <c r="T108" s="68">
        <f t="shared" si="34"/>
        <v>0</v>
      </c>
      <c r="U108" s="69"/>
      <c r="V108" s="69"/>
      <c r="W108" s="69"/>
      <c r="X108" s="69"/>
      <c r="Y108" s="69"/>
      <c r="Z108" s="69"/>
    </row>
    <row r="109" spans="1:26" ht="26" hidden="1">
      <c r="A109" s="67" t="s">
        <v>402</v>
      </c>
      <c r="B109" s="67">
        <v>261.12</v>
      </c>
      <c r="C109" s="67" t="s">
        <v>633</v>
      </c>
      <c r="D109" s="68">
        <f t="shared" si="31"/>
        <v>0</v>
      </c>
      <c r="E109" s="68">
        <f t="shared" si="32"/>
        <v>0</v>
      </c>
      <c r="F109" s="69"/>
      <c r="G109" s="69"/>
      <c r="H109" s="69"/>
      <c r="I109" s="69"/>
      <c r="J109" s="69"/>
      <c r="K109" s="68">
        <f t="shared" si="33"/>
        <v>0</v>
      </c>
      <c r="L109" s="69"/>
      <c r="M109" s="69"/>
      <c r="N109" s="69"/>
      <c r="O109" s="69"/>
      <c r="P109" s="69"/>
      <c r="Q109" s="69"/>
      <c r="R109" s="69"/>
      <c r="S109" s="69"/>
      <c r="T109" s="68">
        <f t="shared" si="34"/>
        <v>0</v>
      </c>
      <c r="U109" s="69"/>
      <c r="V109" s="69"/>
      <c r="W109" s="69"/>
      <c r="X109" s="69"/>
      <c r="Y109" s="69"/>
      <c r="Z109" s="69"/>
    </row>
    <row r="110" spans="1:26" ht="26">
      <c r="A110" s="67" t="s">
        <v>403</v>
      </c>
      <c r="B110" s="67">
        <v>261.13</v>
      </c>
      <c r="C110" s="67" t="s">
        <v>634</v>
      </c>
      <c r="D110" s="68">
        <f t="shared" si="31"/>
        <v>0</v>
      </c>
      <c r="E110" s="68">
        <f t="shared" si="32"/>
        <v>0</v>
      </c>
      <c r="F110" s="69"/>
      <c r="G110" s="69"/>
      <c r="H110" s="69"/>
      <c r="I110" s="69"/>
      <c r="J110" s="69"/>
      <c r="K110" s="68">
        <f t="shared" si="33"/>
        <v>0</v>
      </c>
      <c r="L110" s="69"/>
      <c r="M110" s="69"/>
      <c r="N110" s="69"/>
      <c r="O110" s="69"/>
      <c r="P110" s="69"/>
      <c r="Q110" s="69"/>
      <c r="R110" s="69"/>
      <c r="S110" s="69"/>
      <c r="T110" s="68">
        <f t="shared" si="34"/>
        <v>0</v>
      </c>
      <c r="U110" s="69"/>
      <c r="V110" s="69"/>
      <c r="W110" s="69"/>
      <c r="X110" s="69"/>
      <c r="Y110" s="69"/>
      <c r="Z110" s="69"/>
    </row>
    <row r="111" spans="1:26" ht="52">
      <c r="A111" s="67" t="s">
        <v>404</v>
      </c>
      <c r="B111" s="67">
        <v>261.14</v>
      </c>
      <c r="C111" s="67" t="s">
        <v>635</v>
      </c>
      <c r="D111" s="68">
        <f t="shared" si="31"/>
        <v>100000</v>
      </c>
      <c r="E111" s="68">
        <f t="shared" si="32"/>
        <v>100000</v>
      </c>
      <c r="F111" s="69"/>
      <c r="G111" s="69"/>
      <c r="H111" s="69">
        <v>76400</v>
      </c>
      <c r="I111" s="69"/>
      <c r="J111" s="69">
        <v>23600</v>
      </c>
      <c r="K111" s="68">
        <f t="shared" si="33"/>
        <v>0</v>
      </c>
      <c r="L111" s="69"/>
      <c r="M111" s="69"/>
      <c r="N111" s="69"/>
      <c r="O111" s="69"/>
      <c r="P111" s="69"/>
      <c r="Q111" s="69"/>
      <c r="R111" s="69"/>
      <c r="S111" s="69"/>
      <c r="T111" s="68">
        <f t="shared" si="34"/>
        <v>0</v>
      </c>
      <c r="U111" s="69"/>
      <c r="V111" s="69"/>
      <c r="W111" s="69"/>
      <c r="X111" s="69"/>
      <c r="Y111" s="69"/>
      <c r="Z111" s="69"/>
    </row>
    <row r="112" spans="1:26" ht="39">
      <c r="A112" s="67" t="s">
        <v>405</v>
      </c>
      <c r="B112" s="67">
        <v>261.14999999999998</v>
      </c>
      <c r="C112" s="67" t="s">
        <v>636</v>
      </c>
      <c r="D112" s="68">
        <f t="shared" si="31"/>
        <v>51600</v>
      </c>
      <c r="E112" s="68">
        <f t="shared" si="32"/>
        <v>51600</v>
      </c>
      <c r="F112" s="69"/>
      <c r="G112" s="69"/>
      <c r="H112" s="69">
        <f>12717+34725+2593+1565</f>
        <v>51600</v>
      </c>
      <c r="I112" s="69"/>
      <c r="J112" s="69"/>
      <c r="K112" s="68">
        <f t="shared" si="33"/>
        <v>0</v>
      </c>
      <c r="L112" s="69"/>
      <c r="M112" s="69"/>
      <c r="N112" s="69"/>
      <c r="O112" s="69"/>
      <c r="P112" s="69"/>
      <c r="Q112" s="69"/>
      <c r="R112" s="69"/>
      <c r="S112" s="69"/>
      <c r="T112" s="68">
        <f t="shared" si="34"/>
        <v>0</v>
      </c>
      <c r="U112" s="69"/>
      <c r="V112" s="69"/>
      <c r="W112" s="69"/>
      <c r="X112" s="69"/>
      <c r="Y112" s="69"/>
      <c r="Z112" s="69"/>
    </row>
    <row r="113" spans="1:26" ht="130" hidden="1">
      <c r="A113" s="67" t="s">
        <v>406</v>
      </c>
      <c r="B113" s="67">
        <v>261.16000000000003</v>
      </c>
      <c r="C113" s="67" t="s">
        <v>407</v>
      </c>
      <c r="D113" s="68">
        <f t="shared" si="31"/>
        <v>0</v>
      </c>
      <c r="E113" s="68">
        <f t="shared" si="32"/>
        <v>0</v>
      </c>
      <c r="F113" s="69"/>
      <c r="G113" s="69"/>
      <c r="H113" s="69"/>
      <c r="I113" s="69"/>
      <c r="J113" s="69"/>
      <c r="K113" s="68">
        <f t="shared" si="33"/>
        <v>0</v>
      </c>
      <c r="L113" s="69"/>
      <c r="M113" s="69"/>
      <c r="N113" s="69"/>
      <c r="O113" s="69"/>
      <c r="P113" s="69"/>
      <c r="Q113" s="69"/>
      <c r="R113" s="69"/>
      <c r="S113" s="69"/>
      <c r="T113" s="68">
        <f t="shared" si="34"/>
        <v>0</v>
      </c>
      <c r="U113" s="69"/>
      <c r="V113" s="69"/>
      <c r="W113" s="69"/>
      <c r="X113" s="69"/>
      <c r="Y113" s="69"/>
      <c r="Z113" s="69"/>
    </row>
    <row r="114" spans="1:26" ht="26">
      <c r="A114" s="67" t="s">
        <v>408</v>
      </c>
      <c r="B114" s="67">
        <v>261.17</v>
      </c>
      <c r="C114" s="67" t="s">
        <v>637</v>
      </c>
      <c r="D114" s="68">
        <f t="shared" si="31"/>
        <v>103800</v>
      </c>
      <c r="E114" s="68">
        <f t="shared" si="32"/>
        <v>103800</v>
      </c>
      <c r="F114" s="69"/>
      <c r="G114" s="69"/>
      <c r="H114" s="69">
        <f>27400+9800</f>
        <v>37200</v>
      </c>
      <c r="I114" s="69"/>
      <c r="J114" s="69">
        <f>24420+42180</f>
        <v>66600</v>
      </c>
      <c r="K114" s="68">
        <f t="shared" si="33"/>
        <v>0</v>
      </c>
      <c r="L114" s="69"/>
      <c r="M114" s="69"/>
      <c r="N114" s="69"/>
      <c r="O114" s="69"/>
      <c r="P114" s="69"/>
      <c r="Q114" s="69"/>
      <c r="R114" s="69"/>
      <c r="S114" s="69"/>
      <c r="T114" s="68">
        <f t="shared" si="34"/>
        <v>0</v>
      </c>
      <c r="U114" s="69"/>
      <c r="V114" s="69"/>
      <c r="W114" s="69"/>
      <c r="X114" s="69"/>
      <c r="Y114" s="69"/>
      <c r="Z114" s="69"/>
    </row>
    <row r="115" spans="1:26" ht="104">
      <c r="A115" s="67" t="s">
        <v>409</v>
      </c>
      <c r="B115" s="67">
        <v>261.18</v>
      </c>
      <c r="C115" s="67" t="s">
        <v>638</v>
      </c>
      <c r="D115" s="68">
        <f t="shared" si="31"/>
        <v>0</v>
      </c>
      <c r="E115" s="68">
        <f t="shared" si="32"/>
        <v>0</v>
      </c>
      <c r="F115" s="69"/>
      <c r="G115" s="69"/>
      <c r="H115" s="69"/>
      <c r="I115" s="69"/>
      <c r="J115" s="69"/>
      <c r="K115" s="68">
        <f t="shared" si="33"/>
        <v>0</v>
      </c>
      <c r="L115" s="69"/>
      <c r="M115" s="69"/>
      <c r="N115" s="69"/>
      <c r="O115" s="69"/>
      <c r="P115" s="69"/>
      <c r="Q115" s="69"/>
      <c r="R115" s="69"/>
      <c r="S115" s="69"/>
      <c r="T115" s="68">
        <f t="shared" si="34"/>
        <v>0</v>
      </c>
      <c r="U115" s="69"/>
      <c r="V115" s="69"/>
      <c r="W115" s="69"/>
      <c r="X115" s="69"/>
      <c r="Y115" s="69"/>
      <c r="Z115" s="69"/>
    </row>
    <row r="116" spans="1:26" ht="91" hidden="1">
      <c r="A116" s="67" t="s">
        <v>410</v>
      </c>
      <c r="B116" s="67">
        <v>261.19</v>
      </c>
      <c r="C116" s="67" t="s">
        <v>639</v>
      </c>
      <c r="D116" s="68">
        <f t="shared" si="31"/>
        <v>0</v>
      </c>
      <c r="E116" s="68">
        <f t="shared" si="32"/>
        <v>0</v>
      </c>
      <c r="F116" s="69"/>
      <c r="G116" s="69"/>
      <c r="H116" s="69"/>
      <c r="I116" s="69"/>
      <c r="J116" s="69"/>
      <c r="K116" s="68">
        <f t="shared" si="33"/>
        <v>0</v>
      </c>
      <c r="L116" s="69"/>
      <c r="M116" s="69"/>
      <c r="N116" s="69"/>
      <c r="O116" s="69"/>
      <c r="P116" s="69"/>
      <c r="Q116" s="69"/>
      <c r="R116" s="69"/>
      <c r="S116" s="69"/>
      <c r="T116" s="68">
        <f t="shared" si="34"/>
        <v>0</v>
      </c>
      <c r="U116" s="69"/>
      <c r="V116" s="69"/>
      <c r="W116" s="69"/>
      <c r="X116" s="69"/>
      <c r="Y116" s="69"/>
      <c r="Z116" s="69"/>
    </row>
    <row r="117" spans="1:26" ht="39">
      <c r="A117" s="67" t="s">
        <v>411</v>
      </c>
      <c r="B117" s="67">
        <v>261.2</v>
      </c>
      <c r="C117" s="67" t="s">
        <v>640</v>
      </c>
      <c r="D117" s="68">
        <f t="shared" si="31"/>
        <v>99200</v>
      </c>
      <c r="E117" s="68">
        <f t="shared" si="32"/>
        <v>99200</v>
      </c>
      <c r="F117" s="69"/>
      <c r="G117" s="69"/>
      <c r="H117" s="69"/>
      <c r="I117" s="69"/>
      <c r="J117" s="69">
        <v>99200</v>
      </c>
      <c r="K117" s="68">
        <f t="shared" si="33"/>
        <v>0</v>
      </c>
      <c r="L117" s="69"/>
      <c r="M117" s="69"/>
      <c r="N117" s="69"/>
      <c r="O117" s="69"/>
      <c r="P117" s="69"/>
      <c r="Q117" s="69"/>
      <c r="R117" s="69"/>
      <c r="S117" s="69"/>
      <c r="T117" s="68">
        <f t="shared" si="34"/>
        <v>0</v>
      </c>
      <c r="U117" s="69"/>
      <c r="V117" s="69"/>
      <c r="W117" s="69"/>
      <c r="X117" s="69"/>
      <c r="Y117" s="69"/>
      <c r="Z117" s="69"/>
    </row>
    <row r="118" spans="1:26" ht="26" hidden="1">
      <c r="A118" s="67" t="s">
        <v>412</v>
      </c>
      <c r="B118" s="67">
        <v>261.20999999999998</v>
      </c>
      <c r="C118" s="67" t="s">
        <v>413</v>
      </c>
      <c r="D118" s="68">
        <f t="shared" si="31"/>
        <v>0</v>
      </c>
      <c r="E118" s="68">
        <f t="shared" si="32"/>
        <v>0</v>
      </c>
      <c r="F118" s="69"/>
      <c r="G118" s="69"/>
      <c r="H118" s="69"/>
      <c r="I118" s="69"/>
      <c r="J118" s="69"/>
      <c r="K118" s="68">
        <f t="shared" si="33"/>
        <v>0</v>
      </c>
      <c r="L118" s="69"/>
      <c r="M118" s="69"/>
      <c r="N118" s="69"/>
      <c r="O118" s="69"/>
      <c r="P118" s="69"/>
      <c r="Q118" s="69"/>
      <c r="R118" s="69"/>
      <c r="S118" s="69"/>
      <c r="T118" s="68">
        <f t="shared" si="34"/>
        <v>0</v>
      </c>
      <c r="U118" s="69"/>
      <c r="V118" s="69"/>
      <c r="W118" s="69"/>
      <c r="X118" s="69"/>
      <c r="Y118" s="69"/>
      <c r="Z118" s="69"/>
    </row>
    <row r="119" spans="1:26" ht="39">
      <c r="A119" s="67" t="s">
        <v>414</v>
      </c>
      <c r="B119" s="67">
        <v>261.22000000000003</v>
      </c>
      <c r="C119" s="67" t="s">
        <v>641</v>
      </c>
      <c r="D119" s="68">
        <f t="shared" si="31"/>
        <v>36800</v>
      </c>
      <c r="E119" s="68">
        <f t="shared" si="32"/>
        <v>36800</v>
      </c>
      <c r="F119" s="69"/>
      <c r="G119" s="69"/>
      <c r="H119" s="69">
        <v>36800</v>
      </c>
      <c r="I119" s="69"/>
      <c r="J119" s="69"/>
      <c r="K119" s="68">
        <f t="shared" si="33"/>
        <v>0</v>
      </c>
      <c r="L119" s="69"/>
      <c r="M119" s="69"/>
      <c r="N119" s="69"/>
      <c r="O119" s="69"/>
      <c r="P119" s="69"/>
      <c r="Q119" s="69"/>
      <c r="R119" s="69"/>
      <c r="S119" s="69"/>
      <c r="T119" s="68">
        <f t="shared" si="34"/>
        <v>0</v>
      </c>
      <c r="U119" s="69"/>
      <c r="V119" s="69"/>
      <c r="W119" s="69"/>
      <c r="X119" s="69"/>
      <c r="Y119" s="69"/>
      <c r="Z119" s="69"/>
    </row>
    <row r="120" spans="1:26" ht="26">
      <c r="A120" s="67" t="s">
        <v>415</v>
      </c>
      <c r="B120" s="67">
        <v>261.23</v>
      </c>
      <c r="C120" s="67" t="s">
        <v>642</v>
      </c>
      <c r="D120" s="68">
        <f t="shared" si="31"/>
        <v>10000</v>
      </c>
      <c r="E120" s="68">
        <f t="shared" si="32"/>
        <v>10000</v>
      </c>
      <c r="F120" s="69"/>
      <c r="G120" s="69"/>
      <c r="H120" s="69">
        <v>10000</v>
      </c>
      <c r="I120" s="69"/>
      <c r="J120" s="69"/>
      <c r="K120" s="68">
        <f t="shared" si="33"/>
        <v>0</v>
      </c>
      <c r="L120" s="69"/>
      <c r="M120" s="69"/>
      <c r="N120" s="69"/>
      <c r="O120" s="69"/>
      <c r="P120" s="69"/>
      <c r="Q120" s="69"/>
      <c r="R120" s="69"/>
      <c r="S120" s="69"/>
      <c r="T120" s="68">
        <f t="shared" si="34"/>
        <v>0</v>
      </c>
      <c r="U120" s="69"/>
      <c r="V120" s="69"/>
      <c r="W120" s="69"/>
      <c r="X120" s="69"/>
      <c r="Y120" s="69"/>
      <c r="Z120" s="69"/>
    </row>
    <row r="121" spans="1:26" ht="169" hidden="1">
      <c r="A121" s="67" t="s">
        <v>416</v>
      </c>
      <c r="B121" s="67">
        <v>261.24</v>
      </c>
      <c r="C121" s="67" t="s">
        <v>417</v>
      </c>
      <c r="D121" s="68">
        <f t="shared" si="31"/>
        <v>0</v>
      </c>
      <c r="E121" s="68">
        <f t="shared" si="32"/>
        <v>0</v>
      </c>
      <c r="F121" s="69"/>
      <c r="G121" s="69"/>
      <c r="H121" s="69"/>
      <c r="I121" s="69"/>
      <c r="J121" s="69"/>
      <c r="K121" s="68">
        <f t="shared" si="33"/>
        <v>0</v>
      </c>
      <c r="L121" s="69"/>
      <c r="M121" s="69"/>
      <c r="N121" s="69"/>
      <c r="O121" s="69"/>
      <c r="P121" s="69"/>
      <c r="Q121" s="69"/>
      <c r="R121" s="69"/>
      <c r="S121" s="69"/>
      <c r="T121" s="68">
        <f t="shared" ref="T121:T133" si="35">SUM(U121:Z121)</f>
        <v>0</v>
      </c>
      <c r="U121" s="69"/>
      <c r="V121" s="69"/>
      <c r="W121" s="69"/>
      <c r="X121" s="69"/>
      <c r="Y121" s="69"/>
      <c r="Z121" s="69"/>
    </row>
    <row r="122" spans="1:26" ht="52">
      <c r="A122" s="67" t="s">
        <v>418</v>
      </c>
      <c r="B122" s="67">
        <v>261.25</v>
      </c>
      <c r="C122" s="67" t="s">
        <v>643</v>
      </c>
      <c r="D122" s="68">
        <f t="shared" si="31"/>
        <v>0</v>
      </c>
      <c r="E122" s="68">
        <f t="shared" si="32"/>
        <v>0</v>
      </c>
      <c r="F122" s="69"/>
      <c r="G122" s="69"/>
      <c r="H122" s="69"/>
      <c r="I122" s="69"/>
      <c r="J122" s="69"/>
      <c r="K122" s="68">
        <f t="shared" si="33"/>
        <v>0</v>
      </c>
      <c r="L122" s="69"/>
      <c r="M122" s="69"/>
      <c r="N122" s="69"/>
      <c r="O122" s="69"/>
      <c r="P122" s="69"/>
      <c r="Q122" s="69"/>
      <c r="R122" s="69"/>
      <c r="S122" s="69"/>
      <c r="T122" s="68">
        <f t="shared" si="35"/>
        <v>0</v>
      </c>
      <c r="U122" s="69"/>
      <c r="V122" s="69"/>
      <c r="W122" s="69"/>
      <c r="X122" s="69"/>
      <c r="Y122" s="69"/>
      <c r="Z122" s="69"/>
    </row>
    <row r="123" spans="1:26" ht="26">
      <c r="A123" s="67" t="s">
        <v>419</v>
      </c>
      <c r="B123" s="67">
        <v>261.26</v>
      </c>
      <c r="C123" s="67" t="s">
        <v>644</v>
      </c>
      <c r="D123" s="68">
        <f t="shared" si="31"/>
        <v>115000</v>
      </c>
      <c r="E123" s="68">
        <f t="shared" si="32"/>
        <v>115000</v>
      </c>
      <c r="F123" s="69"/>
      <c r="G123" s="69"/>
      <c r="H123" s="69">
        <v>115000</v>
      </c>
      <c r="I123" s="69"/>
      <c r="J123" s="69"/>
      <c r="K123" s="68">
        <f t="shared" si="33"/>
        <v>0</v>
      </c>
      <c r="L123" s="69"/>
      <c r="M123" s="69"/>
      <c r="N123" s="69"/>
      <c r="O123" s="69"/>
      <c r="P123" s="69"/>
      <c r="Q123" s="69"/>
      <c r="R123" s="69"/>
      <c r="S123" s="69"/>
      <c r="T123" s="68">
        <f t="shared" si="35"/>
        <v>0</v>
      </c>
      <c r="U123" s="69"/>
      <c r="V123" s="69"/>
      <c r="W123" s="69"/>
      <c r="X123" s="69"/>
      <c r="Y123" s="69"/>
      <c r="Z123" s="69"/>
    </row>
    <row r="124" spans="1:26" ht="39" hidden="1">
      <c r="A124" s="67" t="s">
        <v>420</v>
      </c>
      <c r="B124" s="67">
        <v>261.27</v>
      </c>
      <c r="C124" s="67" t="s">
        <v>421</v>
      </c>
      <c r="D124" s="68">
        <f t="shared" si="31"/>
        <v>0</v>
      </c>
      <c r="E124" s="68">
        <f t="shared" si="32"/>
        <v>0</v>
      </c>
      <c r="F124" s="69"/>
      <c r="G124" s="69"/>
      <c r="H124" s="69"/>
      <c r="I124" s="69"/>
      <c r="J124" s="69"/>
      <c r="K124" s="68">
        <f t="shared" si="33"/>
        <v>0</v>
      </c>
      <c r="L124" s="69"/>
      <c r="M124" s="69"/>
      <c r="N124" s="69"/>
      <c r="O124" s="69"/>
      <c r="P124" s="69"/>
      <c r="Q124" s="69"/>
      <c r="R124" s="69"/>
      <c r="S124" s="69"/>
      <c r="T124" s="68">
        <f t="shared" si="35"/>
        <v>0</v>
      </c>
      <c r="U124" s="69"/>
      <c r="V124" s="69"/>
      <c r="W124" s="69"/>
      <c r="X124" s="69"/>
      <c r="Y124" s="69"/>
      <c r="Z124" s="69"/>
    </row>
    <row r="125" spans="1:26" ht="52" hidden="1">
      <c r="A125" s="67" t="s">
        <v>422</v>
      </c>
      <c r="B125" s="67">
        <v>261.27999999999997</v>
      </c>
      <c r="C125" s="67" t="s">
        <v>645</v>
      </c>
      <c r="D125" s="68">
        <f t="shared" si="31"/>
        <v>0</v>
      </c>
      <c r="E125" s="68">
        <f t="shared" si="32"/>
        <v>0</v>
      </c>
      <c r="F125" s="69"/>
      <c r="G125" s="69"/>
      <c r="H125" s="69"/>
      <c r="I125" s="69"/>
      <c r="J125" s="69"/>
      <c r="K125" s="68">
        <f t="shared" si="33"/>
        <v>0</v>
      </c>
      <c r="L125" s="69"/>
      <c r="M125" s="69"/>
      <c r="N125" s="69"/>
      <c r="O125" s="69"/>
      <c r="P125" s="69"/>
      <c r="Q125" s="69"/>
      <c r="R125" s="69"/>
      <c r="S125" s="69"/>
      <c r="T125" s="68">
        <f t="shared" si="35"/>
        <v>0</v>
      </c>
      <c r="U125" s="69"/>
      <c r="V125" s="69"/>
      <c r="W125" s="69"/>
      <c r="X125" s="69"/>
      <c r="Y125" s="69"/>
      <c r="Z125" s="69"/>
    </row>
    <row r="126" spans="1:26" ht="26" hidden="1">
      <c r="A126" s="67" t="s">
        <v>423</v>
      </c>
      <c r="B126" s="67">
        <v>261.29000000000002</v>
      </c>
      <c r="C126" s="67" t="s">
        <v>424</v>
      </c>
      <c r="D126" s="68">
        <f t="shared" si="31"/>
        <v>0</v>
      </c>
      <c r="E126" s="68">
        <f t="shared" si="32"/>
        <v>0</v>
      </c>
      <c r="F126" s="69"/>
      <c r="G126" s="69"/>
      <c r="H126" s="69"/>
      <c r="I126" s="69"/>
      <c r="J126" s="69"/>
      <c r="K126" s="68">
        <f t="shared" si="33"/>
        <v>0</v>
      </c>
      <c r="L126" s="69"/>
      <c r="M126" s="69"/>
      <c r="N126" s="69"/>
      <c r="O126" s="69"/>
      <c r="P126" s="69"/>
      <c r="Q126" s="69"/>
      <c r="R126" s="69"/>
      <c r="S126" s="69"/>
      <c r="T126" s="68">
        <f t="shared" si="35"/>
        <v>0</v>
      </c>
      <c r="U126" s="69"/>
      <c r="V126" s="69"/>
      <c r="W126" s="69"/>
      <c r="X126" s="69"/>
      <c r="Y126" s="69"/>
      <c r="Z126" s="69"/>
    </row>
    <row r="127" spans="1:26" ht="26" hidden="1">
      <c r="A127" s="67" t="s">
        <v>425</v>
      </c>
      <c r="B127" s="67">
        <v>261.3</v>
      </c>
      <c r="C127" s="67" t="s">
        <v>646</v>
      </c>
      <c r="D127" s="68">
        <f t="shared" si="31"/>
        <v>0</v>
      </c>
      <c r="E127" s="68">
        <f t="shared" si="32"/>
        <v>0</v>
      </c>
      <c r="F127" s="69"/>
      <c r="G127" s="69"/>
      <c r="H127" s="69"/>
      <c r="I127" s="69"/>
      <c r="J127" s="69"/>
      <c r="K127" s="68">
        <f t="shared" si="33"/>
        <v>0</v>
      </c>
      <c r="L127" s="69"/>
      <c r="M127" s="69"/>
      <c r="N127" s="69"/>
      <c r="O127" s="69"/>
      <c r="P127" s="69"/>
      <c r="Q127" s="69"/>
      <c r="R127" s="69"/>
      <c r="S127" s="69"/>
      <c r="T127" s="68">
        <f t="shared" si="35"/>
        <v>0</v>
      </c>
      <c r="U127" s="69"/>
      <c r="V127" s="69"/>
      <c r="W127" s="69"/>
      <c r="X127" s="69"/>
      <c r="Y127" s="69"/>
      <c r="Z127" s="69"/>
    </row>
    <row r="128" spans="1:26" ht="26" hidden="1">
      <c r="A128" s="67" t="s">
        <v>426</v>
      </c>
      <c r="B128" s="67">
        <v>261.31</v>
      </c>
      <c r="C128" s="67" t="s">
        <v>427</v>
      </c>
      <c r="D128" s="68">
        <f t="shared" si="31"/>
        <v>0</v>
      </c>
      <c r="E128" s="68">
        <f t="shared" si="32"/>
        <v>0</v>
      </c>
      <c r="F128" s="69"/>
      <c r="G128" s="69"/>
      <c r="H128" s="69"/>
      <c r="I128" s="69"/>
      <c r="J128" s="69"/>
      <c r="K128" s="68">
        <f t="shared" si="33"/>
        <v>0</v>
      </c>
      <c r="L128" s="69"/>
      <c r="M128" s="69"/>
      <c r="N128" s="69"/>
      <c r="O128" s="69"/>
      <c r="P128" s="69"/>
      <c r="Q128" s="69"/>
      <c r="R128" s="69"/>
      <c r="S128" s="69"/>
      <c r="T128" s="68">
        <f t="shared" si="35"/>
        <v>0</v>
      </c>
      <c r="U128" s="69"/>
      <c r="V128" s="69"/>
      <c r="W128" s="69"/>
      <c r="X128" s="69"/>
      <c r="Y128" s="69"/>
      <c r="Z128" s="69"/>
    </row>
    <row r="129" spans="1:26" ht="26" hidden="1">
      <c r="A129" s="67" t="s">
        <v>428</v>
      </c>
      <c r="B129" s="67">
        <v>261.32</v>
      </c>
      <c r="C129" s="67" t="s">
        <v>647</v>
      </c>
      <c r="D129" s="68">
        <f t="shared" si="31"/>
        <v>0</v>
      </c>
      <c r="E129" s="68">
        <f t="shared" si="32"/>
        <v>0</v>
      </c>
      <c r="F129" s="69"/>
      <c r="G129" s="69"/>
      <c r="H129" s="69"/>
      <c r="I129" s="69"/>
      <c r="J129" s="69"/>
      <c r="K129" s="68">
        <f t="shared" si="33"/>
        <v>0</v>
      </c>
      <c r="L129" s="69"/>
      <c r="M129" s="69"/>
      <c r="N129" s="69"/>
      <c r="O129" s="69"/>
      <c r="P129" s="69"/>
      <c r="Q129" s="69"/>
      <c r="R129" s="69"/>
      <c r="S129" s="69"/>
      <c r="T129" s="68">
        <f t="shared" si="35"/>
        <v>0</v>
      </c>
      <c r="U129" s="69"/>
      <c r="V129" s="69"/>
      <c r="W129" s="69"/>
      <c r="X129" s="69"/>
      <c r="Y129" s="69"/>
      <c r="Z129" s="69"/>
    </row>
    <row r="130" spans="1:26" ht="26" hidden="1">
      <c r="A130" s="67" t="s">
        <v>429</v>
      </c>
      <c r="B130" s="67">
        <v>261.33</v>
      </c>
      <c r="C130" s="67" t="s">
        <v>648</v>
      </c>
      <c r="D130" s="68">
        <f t="shared" si="31"/>
        <v>0</v>
      </c>
      <c r="E130" s="68">
        <f t="shared" si="32"/>
        <v>0</v>
      </c>
      <c r="F130" s="69"/>
      <c r="G130" s="69"/>
      <c r="H130" s="69"/>
      <c r="I130" s="69"/>
      <c r="J130" s="69"/>
      <c r="K130" s="68">
        <f t="shared" si="33"/>
        <v>0</v>
      </c>
      <c r="L130" s="69"/>
      <c r="M130" s="69"/>
      <c r="N130" s="69"/>
      <c r="O130" s="69"/>
      <c r="P130" s="69"/>
      <c r="Q130" s="69"/>
      <c r="R130" s="69"/>
      <c r="S130" s="69"/>
      <c r="T130" s="68">
        <f t="shared" si="35"/>
        <v>0</v>
      </c>
      <c r="U130" s="69"/>
      <c r="V130" s="69"/>
      <c r="W130" s="69"/>
      <c r="X130" s="69"/>
      <c r="Y130" s="69"/>
      <c r="Z130" s="69"/>
    </row>
    <row r="131" spans="1:26" ht="26" hidden="1">
      <c r="A131" s="67" t="s">
        <v>430</v>
      </c>
      <c r="B131" s="67">
        <v>261.33999999999997</v>
      </c>
      <c r="C131" s="67" t="s">
        <v>431</v>
      </c>
      <c r="D131" s="68">
        <f t="shared" si="31"/>
        <v>0</v>
      </c>
      <c r="E131" s="68">
        <f t="shared" si="32"/>
        <v>0</v>
      </c>
      <c r="F131" s="69"/>
      <c r="G131" s="69"/>
      <c r="H131" s="69"/>
      <c r="I131" s="69"/>
      <c r="J131" s="69"/>
      <c r="K131" s="68">
        <f t="shared" si="33"/>
        <v>0</v>
      </c>
      <c r="L131" s="69"/>
      <c r="M131" s="69"/>
      <c r="N131" s="69"/>
      <c r="O131" s="69"/>
      <c r="P131" s="69"/>
      <c r="Q131" s="69"/>
      <c r="R131" s="69"/>
      <c r="S131" s="69"/>
      <c r="T131" s="68">
        <f t="shared" si="35"/>
        <v>0</v>
      </c>
      <c r="U131" s="69"/>
      <c r="V131" s="69"/>
      <c r="W131" s="69"/>
      <c r="X131" s="69"/>
      <c r="Y131" s="69"/>
      <c r="Z131" s="69"/>
    </row>
    <row r="132" spans="1:26" ht="26" hidden="1">
      <c r="A132" s="67" t="s">
        <v>432</v>
      </c>
      <c r="B132" s="67">
        <v>261.35000000000002</v>
      </c>
      <c r="C132" s="67" t="s">
        <v>433</v>
      </c>
      <c r="D132" s="68">
        <f t="shared" si="31"/>
        <v>0</v>
      </c>
      <c r="E132" s="68">
        <f t="shared" si="32"/>
        <v>0</v>
      </c>
      <c r="F132" s="69"/>
      <c r="G132" s="69"/>
      <c r="H132" s="69"/>
      <c r="I132" s="69"/>
      <c r="J132" s="69"/>
      <c r="K132" s="68">
        <f t="shared" si="33"/>
        <v>0</v>
      </c>
      <c r="L132" s="69"/>
      <c r="M132" s="69"/>
      <c r="N132" s="69"/>
      <c r="O132" s="69"/>
      <c r="P132" s="69"/>
      <c r="Q132" s="69"/>
      <c r="R132" s="69"/>
      <c r="S132" s="69"/>
      <c r="T132" s="68">
        <f t="shared" si="35"/>
        <v>0</v>
      </c>
      <c r="U132" s="69"/>
      <c r="V132" s="69"/>
      <c r="W132" s="69"/>
      <c r="X132" s="69"/>
      <c r="Y132" s="69"/>
      <c r="Z132" s="69"/>
    </row>
    <row r="133" spans="1:26" ht="26">
      <c r="A133" s="67" t="s">
        <v>434</v>
      </c>
      <c r="B133" s="67">
        <v>261.36</v>
      </c>
      <c r="C133" s="67" t="s">
        <v>649</v>
      </c>
      <c r="D133" s="68">
        <f t="shared" si="31"/>
        <v>35000</v>
      </c>
      <c r="E133" s="68">
        <f t="shared" si="32"/>
        <v>0</v>
      </c>
      <c r="F133" s="69"/>
      <c r="G133" s="69"/>
      <c r="H133" s="69"/>
      <c r="I133" s="69"/>
      <c r="J133" s="69"/>
      <c r="K133" s="68">
        <f t="shared" si="33"/>
        <v>0</v>
      </c>
      <c r="L133" s="69"/>
      <c r="M133" s="69"/>
      <c r="N133" s="69"/>
      <c r="O133" s="69"/>
      <c r="P133" s="69"/>
      <c r="Q133" s="69"/>
      <c r="R133" s="69"/>
      <c r="S133" s="69"/>
      <c r="T133" s="68">
        <f t="shared" si="35"/>
        <v>35000</v>
      </c>
      <c r="U133" s="69"/>
      <c r="V133" s="69"/>
      <c r="W133" s="69"/>
      <c r="X133" s="69"/>
      <c r="Y133" s="69">
        <v>35000</v>
      </c>
      <c r="Z133" s="69"/>
    </row>
    <row r="134" spans="1:26">
      <c r="A134" s="67"/>
      <c r="B134" s="67"/>
      <c r="C134" s="67"/>
      <c r="D134" s="68"/>
      <c r="E134" s="68"/>
      <c r="F134" s="69"/>
      <c r="G134" s="69"/>
      <c r="H134" s="69"/>
      <c r="I134" s="69"/>
      <c r="J134" s="69"/>
      <c r="K134" s="68"/>
      <c r="L134" s="69"/>
      <c r="M134" s="69"/>
      <c r="N134" s="69"/>
      <c r="O134" s="69"/>
      <c r="P134" s="69"/>
      <c r="Q134" s="69"/>
      <c r="R134" s="69"/>
      <c r="S134" s="69"/>
      <c r="T134" s="68"/>
      <c r="U134" s="69"/>
      <c r="V134" s="69"/>
      <c r="W134" s="69"/>
      <c r="X134" s="69"/>
      <c r="Y134" s="69"/>
      <c r="Z134" s="69"/>
    </row>
    <row r="135" spans="1:26" ht="26" hidden="1">
      <c r="A135" s="67" t="s">
        <v>435</v>
      </c>
      <c r="B135" s="67">
        <v>300</v>
      </c>
      <c r="C135" s="67" t="s">
        <v>312</v>
      </c>
      <c r="D135" s="68">
        <f>E135+K135+S135+T135</f>
        <v>0</v>
      </c>
      <c r="E135" s="68">
        <f>SUM(F135:J135)</f>
        <v>0</v>
      </c>
      <c r="F135" s="68"/>
      <c r="G135" s="68"/>
      <c r="H135" s="68"/>
      <c r="I135" s="68"/>
      <c r="J135" s="68"/>
      <c r="K135" s="68">
        <f>SUM(L135:R135)</f>
        <v>0</v>
      </c>
      <c r="L135" s="68"/>
      <c r="M135" s="68"/>
      <c r="N135" s="68"/>
      <c r="O135" s="68"/>
      <c r="P135" s="68"/>
      <c r="Q135" s="68"/>
      <c r="R135" s="68"/>
      <c r="S135" s="68"/>
      <c r="T135" s="68">
        <f>SUM(U135:Z135)</f>
        <v>0</v>
      </c>
      <c r="U135" s="68"/>
      <c r="V135" s="68"/>
      <c r="W135" s="68"/>
      <c r="X135" s="68"/>
      <c r="Y135" s="68"/>
      <c r="Z135" s="68"/>
    </row>
    <row r="136" spans="1:26" hidden="1">
      <c r="A136" s="67" t="s">
        <v>225</v>
      </c>
      <c r="B136" s="67"/>
      <c r="C136" s="67"/>
      <c r="D136" s="68"/>
      <c r="E136" s="68"/>
      <c r="F136" s="69"/>
      <c r="G136" s="69"/>
      <c r="H136" s="69"/>
      <c r="I136" s="69"/>
      <c r="J136" s="69"/>
      <c r="K136" s="68"/>
      <c r="L136" s="69"/>
      <c r="M136" s="69"/>
      <c r="N136" s="69"/>
      <c r="O136" s="69"/>
      <c r="P136" s="69"/>
      <c r="Q136" s="69"/>
      <c r="R136" s="69"/>
      <c r="S136" s="69"/>
      <c r="T136" s="68"/>
      <c r="U136" s="69"/>
      <c r="V136" s="69"/>
      <c r="W136" s="69"/>
      <c r="X136" s="69"/>
      <c r="Y136" s="69"/>
      <c r="Z136" s="69"/>
    </row>
    <row r="137" spans="1:26" hidden="1">
      <c r="A137" s="67" t="s">
        <v>436</v>
      </c>
      <c r="B137" s="67">
        <v>310</v>
      </c>
      <c r="C137" s="67">
        <v>510</v>
      </c>
      <c r="D137" s="68">
        <f>E137+K137+S137+T137</f>
        <v>0</v>
      </c>
      <c r="E137" s="68">
        <f>SUM(F137:J137)</f>
        <v>0</v>
      </c>
      <c r="F137" s="69"/>
      <c r="G137" s="69"/>
      <c r="H137" s="69"/>
      <c r="I137" s="69"/>
      <c r="J137" s="69"/>
      <c r="K137" s="68">
        <f>SUM(L137:R137)</f>
        <v>0</v>
      </c>
      <c r="L137" s="69"/>
      <c r="M137" s="69"/>
      <c r="N137" s="69"/>
      <c r="O137" s="69"/>
      <c r="P137" s="69"/>
      <c r="Q137" s="69"/>
      <c r="R137" s="69"/>
      <c r="S137" s="69"/>
      <c r="T137" s="68">
        <f>SUM(U137:Z137)</f>
        <v>0</v>
      </c>
      <c r="U137" s="69"/>
      <c r="V137" s="69"/>
      <c r="W137" s="69"/>
      <c r="X137" s="69"/>
      <c r="Y137" s="69"/>
      <c r="Z137" s="69"/>
    </row>
    <row r="138" spans="1:26" hidden="1">
      <c r="A138" s="67" t="s">
        <v>437</v>
      </c>
      <c r="B138" s="67">
        <v>320</v>
      </c>
      <c r="C138" s="67"/>
      <c r="D138" s="68">
        <f>E138+K138+S138+T138</f>
        <v>0</v>
      </c>
      <c r="E138" s="68">
        <f>SUM(F138:J138)</f>
        <v>0</v>
      </c>
      <c r="F138" s="69"/>
      <c r="G138" s="69"/>
      <c r="H138" s="69"/>
      <c r="I138" s="69"/>
      <c r="J138" s="69"/>
      <c r="K138" s="68">
        <f>SUM(L138:R138)</f>
        <v>0</v>
      </c>
      <c r="L138" s="69"/>
      <c r="M138" s="69"/>
      <c r="N138" s="69"/>
      <c r="O138" s="69"/>
      <c r="P138" s="69"/>
      <c r="Q138" s="69"/>
      <c r="R138" s="69"/>
      <c r="S138" s="69"/>
      <c r="T138" s="68">
        <f>SUM(U138:Z138)</f>
        <v>0</v>
      </c>
      <c r="U138" s="69"/>
      <c r="V138" s="69"/>
      <c r="W138" s="69"/>
      <c r="X138" s="69"/>
      <c r="Y138" s="69"/>
      <c r="Z138" s="69"/>
    </row>
    <row r="139" spans="1:26" ht="24.75" hidden="1" customHeight="1">
      <c r="A139" s="67" t="s">
        <v>438</v>
      </c>
      <c r="B139" s="67">
        <v>400</v>
      </c>
      <c r="C139" s="67">
        <v>600</v>
      </c>
      <c r="D139" s="68">
        <f>E139+K139+S139+T139</f>
        <v>0</v>
      </c>
      <c r="E139" s="68">
        <f>SUM(F139:J139)</f>
        <v>0</v>
      </c>
      <c r="F139" s="68"/>
      <c r="G139" s="68"/>
      <c r="H139" s="68"/>
      <c r="I139" s="68"/>
      <c r="J139" s="68"/>
      <c r="K139" s="68">
        <f>SUM(L139:R139)</f>
        <v>0</v>
      </c>
      <c r="L139" s="68"/>
      <c r="M139" s="68"/>
      <c r="N139" s="68"/>
      <c r="O139" s="68"/>
      <c r="P139" s="68"/>
      <c r="Q139" s="68"/>
      <c r="R139" s="68"/>
      <c r="S139" s="68"/>
      <c r="T139" s="68">
        <f>SUM(U139:Z139)</f>
        <v>0</v>
      </c>
      <c r="U139" s="68"/>
      <c r="V139" s="68"/>
      <c r="W139" s="68"/>
      <c r="X139" s="68"/>
      <c r="Y139" s="68"/>
      <c r="Z139" s="68"/>
    </row>
    <row r="140" spans="1:26" hidden="1">
      <c r="A140" s="67" t="s">
        <v>225</v>
      </c>
      <c r="B140" s="67"/>
      <c r="C140" s="67"/>
      <c r="D140" s="68"/>
      <c r="E140" s="68"/>
      <c r="F140" s="69"/>
      <c r="G140" s="69"/>
      <c r="H140" s="69"/>
      <c r="I140" s="69"/>
      <c r="J140" s="69"/>
      <c r="K140" s="68"/>
      <c r="L140" s="69"/>
      <c r="M140" s="69"/>
      <c r="N140" s="69"/>
      <c r="O140" s="69"/>
      <c r="P140" s="69"/>
      <c r="Q140" s="69"/>
      <c r="R140" s="69"/>
      <c r="S140" s="69"/>
      <c r="T140" s="68"/>
      <c r="U140" s="69"/>
      <c r="V140" s="69"/>
      <c r="W140" s="69"/>
      <c r="X140" s="69"/>
      <c r="Y140" s="69"/>
      <c r="Z140" s="69"/>
    </row>
    <row r="141" spans="1:26" hidden="1">
      <c r="A141" s="67" t="s">
        <v>439</v>
      </c>
      <c r="B141" s="67">
        <v>410</v>
      </c>
      <c r="C141" s="67">
        <v>610</v>
      </c>
      <c r="D141" s="68">
        <f>E141+K141+S141+T141</f>
        <v>0</v>
      </c>
      <c r="E141" s="68">
        <f>SUM(F141:J141)</f>
        <v>0</v>
      </c>
      <c r="F141" s="69"/>
      <c r="G141" s="69"/>
      <c r="H141" s="69"/>
      <c r="I141" s="69"/>
      <c r="J141" s="69"/>
      <c r="K141" s="68">
        <f>SUM(L141:R141)</f>
        <v>0</v>
      </c>
      <c r="L141" s="69"/>
      <c r="M141" s="69"/>
      <c r="N141" s="69"/>
      <c r="O141" s="69"/>
      <c r="P141" s="69"/>
      <c r="Q141" s="69"/>
      <c r="R141" s="69"/>
      <c r="S141" s="69"/>
      <c r="T141" s="68">
        <f>SUM(U141:Z141)</f>
        <v>0</v>
      </c>
      <c r="U141" s="69"/>
      <c r="V141" s="69"/>
      <c r="W141" s="69"/>
      <c r="X141" s="69"/>
      <c r="Y141" s="69"/>
      <c r="Z141" s="69"/>
    </row>
    <row r="142" spans="1:26" hidden="1">
      <c r="A142" s="67" t="s">
        <v>440</v>
      </c>
      <c r="B142" s="67">
        <v>420</v>
      </c>
      <c r="C142" s="67"/>
      <c r="D142" s="68">
        <f>E142+K142+S142+T142</f>
        <v>0</v>
      </c>
      <c r="E142" s="68">
        <f>SUM(F142:J142)</f>
        <v>0</v>
      </c>
      <c r="F142" s="69"/>
      <c r="G142" s="69"/>
      <c r="H142" s="69"/>
      <c r="I142" s="69"/>
      <c r="J142" s="69"/>
      <c r="K142" s="68">
        <f>SUM(L142:R142)</f>
        <v>0</v>
      </c>
      <c r="L142" s="69"/>
      <c r="M142" s="69"/>
      <c r="N142" s="69"/>
      <c r="O142" s="69"/>
      <c r="P142" s="69"/>
      <c r="Q142" s="69"/>
      <c r="R142" s="69"/>
      <c r="S142" s="69"/>
      <c r="T142" s="68">
        <f>SUM(U142:Z142)</f>
        <v>0</v>
      </c>
      <c r="U142" s="69"/>
      <c r="V142" s="69"/>
      <c r="W142" s="69"/>
      <c r="X142" s="69"/>
      <c r="Y142" s="69"/>
      <c r="Z142" s="69"/>
    </row>
    <row r="143" spans="1:26">
      <c r="A143" s="67" t="s">
        <v>441</v>
      </c>
      <c r="B143" s="67">
        <v>500</v>
      </c>
      <c r="C143" s="67" t="s">
        <v>340</v>
      </c>
      <c r="D143" s="68">
        <f>E143+K143+S143+T143</f>
        <v>161020.35999999999</v>
      </c>
      <c r="E143" s="68">
        <f>SUM(F143:J143)</f>
        <v>0</v>
      </c>
      <c r="F143" s="69"/>
      <c r="G143" s="69"/>
      <c r="H143" s="69"/>
      <c r="I143" s="69"/>
      <c r="J143" s="69"/>
      <c r="K143" s="68">
        <f>SUM(L143:R143)</f>
        <v>161020.35999999999</v>
      </c>
      <c r="L143" s="69">
        <v>161019.56</v>
      </c>
      <c r="M143" s="69"/>
      <c r="N143" s="69"/>
      <c r="O143" s="69"/>
      <c r="P143" s="69"/>
      <c r="Q143" s="69"/>
      <c r="R143" s="69">
        <v>0.8</v>
      </c>
      <c r="S143" s="69"/>
      <c r="T143" s="68">
        <f>SUM(U143:Z143)</f>
        <v>0</v>
      </c>
      <c r="U143" s="69"/>
      <c r="V143" s="69"/>
      <c r="W143" s="69"/>
      <c r="X143" s="69"/>
      <c r="Y143" s="69"/>
      <c r="Z143" s="69"/>
    </row>
    <row r="144" spans="1:26">
      <c r="A144" s="67" t="s">
        <v>442</v>
      </c>
      <c r="B144" s="67">
        <v>600</v>
      </c>
      <c r="C144" s="67" t="s">
        <v>340</v>
      </c>
      <c r="D144" s="68">
        <f>E144+K144+S144+T144</f>
        <v>0</v>
      </c>
      <c r="E144" s="68">
        <f>SUM(F144:J144)</f>
        <v>0</v>
      </c>
      <c r="F144" s="69">
        <v>0</v>
      </c>
      <c r="G144" s="69">
        <v>0</v>
      </c>
      <c r="H144" s="69">
        <v>0</v>
      </c>
      <c r="I144" s="69">
        <v>0</v>
      </c>
      <c r="J144" s="69">
        <v>0</v>
      </c>
      <c r="K144" s="68">
        <f>SUM(L144:R144)</f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69">
        <v>0</v>
      </c>
      <c r="S144" s="69">
        <v>0</v>
      </c>
      <c r="T144" s="68">
        <f>SUM(U144:Z144)</f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</row>
    <row r="146" spans="8:8">
      <c r="H146" s="89"/>
    </row>
    <row r="147" spans="8:8">
      <c r="H147" s="90"/>
    </row>
  </sheetData>
  <autoFilter ref="A9:Z144"/>
  <mergeCells count="12">
    <mergeCell ref="D5:Z5"/>
    <mergeCell ref="D6:D8"/>
    <mergeCell ref="E6:Z6"/>
    <mergeCell ref="A3:J3"/>
    <mergeCell ref="K7:R7"/>
    <mergeCell ref="A2:J2"/>
    <mergeCell ref="S7:S8"/>
    <mergeCell ref="T7:Z7"/>
    <mergeCell ref="E7:J7"/>
    <mergeCell ref="A5:A8"/>
    <mergeCell ref="B5:B8"/>
    <mergeCell ref="C5:C8"/>
  </mergeCells>
  <phoneticPr fontId="0" type="noConversion"/>
  <pageMargins left="0" right="0" top="0.78740157480314965" bottom="0.39370078740157483" header="0.31496062992125984" footer="0.31496062992125984"/>
  <pageSetup paperSize="9" scale="8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AB147"/>
  <sheetViews>
    <sheetView zoomScaleNormal="100" workbookViewId="0">
      <pane xSplit="3" ySplit="9" topLeftCell="D58" activePane="bottomRight" state="frozen"/>
      <selection activeCell="D27" sqref="D27"/>
      <selection pane="topRight" activeCell="D27" sqref="D27"/>
      <selection pane="bottomLeft" activeCell="D27" sqref="D27"/>
      <selection pane="bottomRight" activeCell="D27" sqref="D27"/>
    </sheetView>
  </sheetViews>
  <sheetFormatPr defaultColWidth="9.1796875" defaultRowHeight="14.5"/>
  <cols>
    <col min="1" max="1" width="27" style="70" customWidth="1"/>
    <col min="2" max="2" width="5.81640625" style="70" customWidth="1"/>
    <col min="3" max="3" width="10.54296875" style="70" customWidth="1"/>
    <col min="4" max="4" width="11.54296875" style="70" customWidth="1"/>
    <col min="5" max="5" width="11.7265625" style="70" customWidth="1"/>
    <col min="6" max="6" width="10.54296875" style="70" hidden="1" customWidth="1"/>
    <col min="7" max="7" width="11.453125" style="70" hidden="1" customWidth="1"/>
    <col min="8" max="8" width="13.1796875" style="70" customWidth="1"/>
    <col min="9" max="9" width="11.453125" style="70" hidden="1" customWidth="1"/>
    <col min="10" max="10" width="10" style="70" customWidth="1"/>
    <col min="11" max="11" width="11.453125" style="70" customWidth="1"/>
    <col min="12" max="12" width="9.7265625" style="70" customWidth="1"/>
    <col min="13" max="13" width="7.54296875" style="70" customWidth="1"/>
    <col min="14" max="14" width="9.26953125" style="70" hidden="1" customWidth="1"/>
    <col min="15" max="15" width="11.453125" style="70" hidden="1" customWidth="1"/>
    <col min="16" max="16" width="8.453125" style="70" hidden="1" customWidth="1"/>
    <col min="17" max="17" width="10.7265625" style="70" customWidth="1"/>
    <col min="18" max="18" width="7" style="70" hidden="1" customWidth="1"/>
    <col min="19" max="19" width="11.453125" style="70" hidden="1" customWidth="1"/>
    <col min="20" max="20" width="8.81640625" style="70" customWidth="1"/>
    <col min="21" max="24" width="11.453125" style="70" hidden="1" customWidth="1"/>
    <col min="25" max="25" width="8.453125" style="70" customWidth="1"/>
    <col min="26" max="26" width="11.453125" style="70" hidden="1" customWidth="1"/>
    <col min="27" max="27" width="11.453125" style="70" customWidth="1"/>
    <col min="28" max="28" width="12.81640625" style="70" bestFit="1" customWidth="1"/>
    <col min="29" max="16384" width="9.1796875" style="70"/>
  </cols>
  <sheetData>
    <row r="2" spans="1:28" ht="15.5">
      <c r="A2" s="247" t="s">
        <v>452</v>
      </c>
      <c r="B2" s="247"/>
      <c r="C2" s="247"/>
      <c r="D2" s="247"/>
      <c r="E2" s="247"/>
      <c r="F2" s="247"/>
      <c r="G2" s="247"/>
      <c r="H2" s="247"/>
      <c r="I2" s="247"/>
      <c r="J2" s="247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8" ht="15.5">
      <c r="A3" s="247" t="s">
        <v>733</v>
      </c>
      <c r="B3" s="247"/>
      <c r="C3" s="247"/>
      <c r="D3" s="247"/>
      <c r="E3" s="247"/>
      <c r="F3" s="247"/>
      <c r="G3" s="247"/>
      <c r="H3" s="247"/>
      <c r="I3" s="247"/>
      <c r="J3" s="247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8" ht="15.5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8">
      <c r="A5" s="248" t="s">
        <v>443</v>
      </c>
      <c r="B5" s="248" t="s">
        <v>444</v>
      </c>
      <c r="C5" s="248" t="s">
        <v>445</v>
      </c>
      <c r="D5" s="248" t="s">
        <v>446</v>
      </c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</row>
    <row r="6" spans="1:28">
      <c r="A6" s="248"/>
      <c r="B6" s="248"/>
      <c r="C6" s="248"/>
      <c r="D6" s="244" t="s">
        <v>447</v>
      </c>
      <c r="E6" s="248" t="s">
        <v>227</v>
      </c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</row>
    <row r="7" spans="1:28" ht="60.75" customHeight="1">
      <c r="A7" s="248"/>
      <c r="B7" s="248"/>
      <c r="C7" s="248"/>
      <c r="D7" s="249"/>
      <c r="E7" s="241" t="s">
        <v>448</v>
      </c>
      <c r="F7" s="242"/>
      <c r="G7" s="242"/>
      <c r="H7" s="242"/>
      <c r="I7" s="242"/>
      <c r="J7" s="243"/>
      <c r="K7" s="241" t="s">
        <v>449</v>
      </c>
      <c r="L7" s="242"/>
      <c r="M7" s="242"/>
      <c r="N7" s="242"/>
      <c r="O7" s="242"/>
      <c r="P7" s="242"/>
      <c r="Q7" s="242"/>
      <c r="R7" s="243"/>
      <c r="S7" s="244" t="s">
        <v>450</v>
      </c>
      <c r="T7" s="246" t="s">
        <v>451</v>
      </c>
      <c r="U7" s="246"/>
      <c r="V7" s="246"/>
      <c r="W7" s="246"/>
      <c r="X7" s="246"/>
      <c r="Y7" s="246"/>
      <c r="Z7" s="246"/>
    </row>
    <row r="8" spans="1:28" ht="186" customHeight="1">
      <c r="A8" s="248"/>
      <c r="B8" s="248"/>
      <c r="C8" s="248"/>
      <c r="D8" s="245"/>
      <c r="E8" s="87" t="s">
        <v>650</v>
      </c>
      <c r="F8" s="73" t="s">
        <v>651</v>
      </c>
      <c r="G8" s="73" t="s">
        <v>719</v>
      </c>
      <c r="H8" s="73" t="s">
        <v>653</v>
      </c>
      <c r="I8" s="73" t="s">
        <v>652</v>
      </c>
      <c r="J8" s="73" t="s">
        <v>705</v>
      </c>
      <c r="K8" s="87" t="s">
        <v>650</v>
      </c>
      <c r="L8" s="73" t="s">
        <v>662</v>
      </c>
      <c r="M8" s="73" t="s">
        <v>661</v>
      </c>
      <c r="N8" s="73" t="s">
        <v>663</v>
      </c>
      <c r="O8" s="73" t="s">
        <v>664</v>
      </c>
      <c r="P8" s="73" t="s">
        <v>665</v>
      </c>
      <c r="Q8" s="73" t="s">
        <v>715</v>
      </c>
      <c r="R8" s="73" t="s">
        <v>723</v>
      </c>
      <c r="S8" s="245"/>
      <c r="T8" s="88" t="s">
        <v>447</v>
      </c>
      <c r="U8" s="88" t="s">
        <v>672</v>
      </c>
      <c r="V8" s="88" t="s">
        <v>673</v>
      </c>
      <c r="W8" s="88" t="s">
        <v>674</v>
      </c>
      <c r="X8" s="88" t="s">
        <v>677</v>
      </c>
      <c r="Y8" s="88" t="s">
        <v>675</v>
      </c>
      <c r="Z8" s="88" t="s">
        <v>676</v>
      </c>
    </row>
    <row r="9" spans="1:28">
      <c r="A9" s="74">
        <v>1</v>
      </c>
      <c r="B9" s="74">
        <v>2</v>
      </c>
      <c r="C9" s="74">
        <v>3</v>
      </c>
      <c r="D9" s="75">
        <v>4</v>
      </c>
      <c r="E9" s="75">
        <v>5</v>
      </c>
      <c r="F9" s="74">
        <v>6</v>
      </c>
      <c r="G9" s="75">
        <v>7</v>
      </c>
      <c r="H9" s="75">
        <v>8</v>
      </c>
      <c r="I9" s="74">
        <v>9</v>
      </c>
      <c r="J9" s="75">
        <v>10</v>
      </c>
      <c r="K9" s="75">
        <v>11</v>
      </c>
      <c r="L9" s="74">
        <v>12</v>
      </c>
      <c r="M9" s="75">
        <v>13</v>
      </c>
      <c r="N9" s="75">
        <v>14</v>
      </c>
      <c r="O9" s="74">
        <v>15</v>
      </c>
      <c r="P9" s="75">
        <v>16</v>
      </c>
      <c r="Q9" s="75">
        <v>17</v>
      </c>
      <c r="R9" s="74">
        <v>18</v>
      </c>
      <c r="S9" s="75">
        <v>19</v>
      </c>
      <c r="T9" s="75">
        <v>20</v>
      </c>
      <c r="U9" s="75">
        <v>21</v>
      </c>
      <c r="V9" s="74">
        <v>22</v>
      </c>
      <c r="W9" s="75">
        <v>23</v>
      </c>
      <c r="X9" s="75">
        <v>24</v>
      </c>
      <c r="Y9" s="75">
        <v>25</v>
      </c>
      <c r="Z9" s="74">
        <v>26</v>
      </c>
    </row>
    <row r="10" spans="1:28">
      <c r="A10" s="67" t="s">
        <v>600</v>
      </c>
      <c r="B10" s="67">
        <v>100</v>
      </c>
      <c r="C10" s="67" t="s">
        <v>312</v>
      </c>
      <c r="D10" s="68">
        <f>E10+K10+S10+T10</f>
        <v>35090200</v>
      </c>
      <c r="E10" s="68">
        <f>SUM(F10:J10)</f>
        <v>32680700</v>
      </c>
      <c r="F10" s="68">
        <f>F17</f>
        <v>0</v>
      </c>
      <c r="G10" s="68">
        <f>G17</f>
        <v>0</v>
      </c>
      <c r="H10" s="68">
        <f>H17</f>
        <v>32491300</v>
      </c>
      <c r="I10" s="68">
        <f>I17</f>
        <v>0</v>
      </c>
      <c r="J10" s="68">
        <f>J17</f>
        <v>189400</v>
      </c>
      <c r="K10" s="68">
        <f>SUM(L10:R10)</f>
        <v>2374500</v>
      </c>
      <c r="L10" s="68">
        <f t="shared" ref="L10:R10" si="0">L30</f>
        <v>562400</v>
      </c>
      <c r="M10" s="68">
        <f t="shared" si="0"/>
        <v>1300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1810800</v>
      </c>
      <c r="R10" s="68">
        <f t="shared" si="0"/>
        <v>0</v>
      </c>
      <c r="S10" s="68"/>
      <c r="T10" s="68">
        <f>SUM(U10:Z10)</f>
        <v>35000</v>
      </c>
      <c r="U10" s="68">
        <f>U17</f>
        <v>0</v>
      </c>
      <c r="V10" s="68">
        <f>V17</f>
        <v>0</v>
      </c>
      <c r="W10" s="68">
        <f>W17</f>
        <v>0</v>
      </c>
      <c r="X10" s="68">
        <f>X17</f>
        <v>0</v>
      </c>
      <c r="Y10" s="68">
        <f>Y17+Y32</f>
        <v>35000</v>
      </c>
      <c r="Z10" s="68"/>
      <c r="AB10" s="86"/>
    </row>
    <row r="11" spans="1:28">
      <c r="A11" s="67" t="s">
        <v>313</v>
      </c>
      <c r="B11" s="67"/>
      <c r="C11" s="67"/>
      <c r="D11" s="68"/>
      <c r="E11" s="68"/>
      <c r="F11" s="69"/>
      <c r="G11" s="69"/>
      <c r="H11" s="69"/>
      <c r="I11" s="69"/>
      <c r="J11" s="69"/>
      <c r="K11" s="68"/>
      <c r="L11" s="69"/>
      <c r="M11" s="69"/>
      <c r="N11" s="69"/>
      <c r="O11" s="69"/>
      <c r="P11" s="69"/>
      <c r="Q11" s="69"/>
      <c r="R11" s="69"/>
      <c r="S11" s="69"/>
      <c r="T11" s="68"/>
      <c r="U11" s="69"/>
      <c r="V11" s="69"/>
      <c r="W11" s="69"/>
      <c r="X11" s="69"/>
      <c r="Y11" s="69"/>
      <c r="Z11" s="69"/>
    </row>
    <row r="12" spans="1:28">
      <c r="A12" s="67" t="s">
        <v>314</v>
      </c>
      <c r="B12" s="67">
        <v>110</v>
      </c>
      <c r="C12" s="67">
        <v>120</v>
      </c>
      <c r="D12" s="68">
        <f>T12</f>
        <v>0</v>
      </c>
      <c r="E12" s="68" t="s">
        <v>312</v>
      </c>
      <c r="F12" s="69" t="s">
        <v>312</v>
      </c>
      <c r="G12" s="69" t="s">
        <v>312</v>
      </c>
      <c r="H12" s="69" t="s">
        <v>312</v>
      </c>
      <c r="I12" s="69" t="s">
        <v>312</v>
      </c>
      <c r="J12" s="69" t="s">
        <v>312</v>
      </c>
      <c r="K12" s="68" t="s">
        <v>312</v>
      </c>
      <c r="L12" s="69" t="s">
        <v>312</v>
      </c>
      <c r="M12" s="69" t="s">
        <v>312</v>
      </c>
      <c r="N12" s="69" t="s">
        <v>312</v>
      </c>
      <c r="O12" s="69" t="s">
        <v>312</v>
      </c>
      <c r="P12" s="69" t="s">
        <v>312</v>
      </c>
      <c r="Q12" s="69" t="s">
        <v>312</v>
      </c>
      <c r="R12" s="69" t="s">
        <v>312</v>
      </c>
      <c r="S12" s="69" t="s">
        <v>312</v>
      </c>
      <c r="T12" s="68">
        <f>SUM(U12:Z12)</f>
        <v>0</v>
      </c>
      <c r="U12" s="69"/>
      <c r="V12" s="69"/>
      <c r="W12" s="69"/>
      <c r="X12" s="69"/>
      <c r="Y12" s="69"/>
      <c r="Z12" s="69" t="s">
        <v>312</v>
      </c>
    </row>
    <row r="13" spans="1:28" hidden="1">
      <c r="A13" s="67" t="s">
        <v>315</v>
      </c>
      <c r="B13" s="67"/>
      <c r="C13" s="67"/>
      <c r="D13" s="68"/>
      <c r="E13" s="68"/>
      <c r="F13" s="69"/>
      <c r="G13" s="69"/>
      <c r="H13" s="69"/>
      <c r="I13" s="69"/>
      <c r="J13" s="69"/>
      <c r="K13" s="68"/>
      <c r="L13" s="69"/>
      <c r="M13" s="69"/>
      <c r="N13" s="69"/>
      <c r="O13" s="69"/>
      <c r="P13" s="69"/>
      <c r="Q13" s="69"/>
      <c r="R13" s="69"/>
      <c r="S13" s="69"/>
      <c r="T13" s="68"/>
      <c r="U13" s="69"/>
      <c r="V13" s="69"/>
      <c r="W13" s="69"/>
      <c r="X13" s="69"/>
      <c r="Y13" s="69"/>
      <c r="Z13" s="69"/>
    </row>
    <row r="14" spans="1:28" hidden="1">
      <c r="A14" s="76" t="s">
        <v>316</v>
      </c>
      <c r="B14" s="76">
        <v>111</v>
      </c>
      <c r="C14" s="76">
        <v>120</v>
      </c>
      <c r="D14" s="68">
        <f>T14</f>
        <v>0</v>
      </c>
      <c r="E14" s="77" t="s">
        <v>312</v>
      </c>
      <c r="F14" s="78" t="s">
        <v>312</v>
      </c>
      <c r="G14" s="78" t="s">
        <v>312</v>
      </c>
      <c r="H14" s="78" t="s">
        <v>312</v>
      </c>
      <c r="I14" s="78" t="s">
        <v>312</v>
      </c>
      <c r="J14" s="78" t="s">
        <v>312</v>
      </c>
      <c r="K14" s="77" t="s">
        <v>312</v>
      </c>
      <c r="L14" s="78" t="s">
        <v>312</v>
      </c>
      <c r="M14" s="78" t="s">
        <v>312</v>
      </c>
      <c r="N14" s="78" t="s">
        <v>312</v>
      </c>
      <c r="O14" s="78" t="s">
        <v>312</v>
      </c>
      <c r="P14" s="78" t="s">
        <v>312</v>
      </c>
      <c r="Q14" s="78" t="s">
        <v>312</v>
      </c>
      <c r="R14" s="78" t="s">
        <v>312</v>
      </c>
      <c r="S14" s="78" t="s">
        <v>312</v>
      </c>
      <c r="T14" s="68">
        <f>SUM(U14:Z14)</f>
        <v>0</v>
      </c>
      <c r="U14" s="78"/>
      <c r="V14" s="78"/>
      <c r="W14" s="78"/>
      <c r="X14" s="78"/>
      <c r="Y14" s="78"/>
      <c r="Z14" s="78" t="s">
        <v>312</v>
      </c>
    </row>
    <row r="15" spans="1:28" ht="26" hidden="1">
      <c r="A15" s="67" t="s">
        <v>317</v>
      </c>
      <c r="B15" s="67">
        <v>112</v>
      </c>
      <c r="C15" s="67">
        <v>120</v>
      </c>
      <c r="D15" s="68">
        <f>T15</f>
        <v>0</v>
      </c>
      <c r="E15" s="68" t="s">
        <v>312</v>
      </c>
      <c r="F15" s="69" t="s">
        <v>312</v>
      </c>
      <c r="G15" s="69" t="s">
        <v>312</v>
      </c>
      <c r="H15" s="69" t="s">
        <v>312</v>
      </c>
      <c r="I15" s="69" t="s">
        <v>312</v>
      </c>
      <c r="J15" s="69" t="s">
        <v>312</v>
      </c>
      <c r="K15" s="68" t="s">
        <v>312</v>
      </c>
      <c r="L15" s="69" t="s">
        <v>312</v>
      </c>
      <c r="M15" s="69" t="s">
        <v>312</v>
      </c>
      <c r="N15" s="69" t="s">
        <v>312</v>
      </c>
      <c r="O15" s="69" t="s">
        <v>312</v>
      </c>
      <c r="P15" s="69" t="s">
        <v>312</v>
      </c>
      <c r="Q15" s="69" t="s">
        <v>312</v>
      </c>
      <c r="R15" s="69" t="s">
        <v>312</v>
      </c>
      <c r="S15" s="69" t="s">
        <v>312</v>
      </c>
      <c r="T15" s="68">
        <f>SUM(U15:Z15)</f>
        <v>0</v>
      </c>
      <c r="U15" s="69"/>
      <c r="V15" s="69"/>
      <c r="W15" s="69"/>
      <c r="X15" s="69"/>
      <c r="Y15" s="69"/>
      <c r="Z15" s="69" t="s">
        <v>312</v>
      </c>
    </row>
    <row r="16" spans="1:28">
      <c r="A16" s="67"/>
      <c r="B16" s="67"/>
      <c r="C16" s="67"/>
      <c r="D16" s="68"/>
      <c r="E16" s="68"/>
      <c r="F16" s="69"/>
      <c r="G16" s="69"/>
      <c r="H16" s="69"/>
      <c r="I16" s="69"/>
      <c r="J16" s="69"/>
      <c r="K16" s="68"/>
      <c r="L16" s="69"/>
      <c r="M16" s="69"/>
      <c r="N16" s="69"/>
      <c r="O16" s="69"/>
      <c r="P16" s="69"/>
      <c r="Q16" s="69"/>
      <c r="R16" s="69"/>
      <c r="S16" s="69"/>
      <c r="T16" s="68"/>
      <c r="U16" s="69"/>
      <c r="V16" s="69"/>
      <c r="W16" s="69"/>
      <c r="X16" s="69"/>
      <c r="Y16" s="69"/>
      <c r="Z16" s="69"/>
    </row>
    <row r="17" spans="1:26" ht="27.75" customHeight="1">
      <c r="A17" s="67" t="s">
        <v>318</v>
      </c>
      <c r="B17" s="67">
        <v>120</v>
      </c>
      <c r="C17" s="67">
        <v>130</v>
      </c>
      <c r="D17" s="68">
        <f>E17+T17</f>
        <v>32680700</v>
      </c>
      <c r="E17" s="68">
        <f>SUM(F17:J17)</f>
        <v>32680700</v>
      </c>
      <c r="F17" s="69"/>
      <c r="G17" s="69"/>
      <c r="H17" s="68">
        <f>H19+H20+H21+H22+H23+H24</f>
        <v>32491300</v>
      </c>
      <c r="I17" s="68">
        <f>I19+I20+I21+I22+I23+I24</f>
        <v>0</v>
      </c>
      <c r="J17" s="68">
        <f>J19+J20+J21+J22+J23+J24</f>
        <v>189400</v>
      </c>
      <c r="K17" s="68" t="s">
        <v>312</v>
      </c>
      <c r="L17" s="69" t="s">
        <v>312</v>
      </c>
      <c r="M17" s="69" t="s">
        <v>312</v>
      </c>
      <c r="N17" s="69" t="s">
        <v>312</v>
      </c>
      <c r="O17" s="69" t="s">
        <v>312</v>
      </c>
      <c r="P17" s="69" t="s">
        <v>312</v>
      </c>
      <c r="Q17" s="69" t="s">
        <v>312</v>
      </c>
      <c r="R17" s="69" t="s">
        <v>312</v>
      </c>
      <c r="S17" s="69" t="s">
        <v>312</v>
      </c>
      <c r="T17" s="68">
        <f>SUM(U17:Z17)</f>
        <v>0</v>
      </c>
      <c r="U17" s="68">
        <f>U20</f>
        <v>0</v>
      </c>
      <c r="V17" s="68">
        <f>V21</f>
        <v>0</v>
      </c>
      <c r="W17" s="68">
        <f>W22</f>
        <v>0</v>
      </c>
      <c r="X17" s="68"/>
      <c r="Y17" s="68">
        <f>Y28</f>
        <v>0</v>
      </c>
      <c r="Z17" s="68" t="s">
        <v>312</v>
      </c>
    </row>
    <row r="18" spans="1:26">
      <c r="A18" s="67" t="s">
        <v>315</v>
      </c>
      <c r="B18" s="67"/>
      <c r="C18" s="67"/>
      <c r="D18" s="68"/>
      <c r="E18" s="68"/>
      <c r="F18" s="69"/>
      <c r="G18" s="69"/>
      <c r="H18" s="69"/>
      <c r="I18" s="69"/>
      <c r="J18" s="69"/>
      <c r="K18" s="68"/>
      <c r="L18" s="69"/>
      <c r="M18" s="69"/>
      <c r="N18" s="69"/>
      <c r="O18" s="69"/>
      <c r="P18" s="69"/>
      <c r="Q18" s="69"/>
      <c r="R18" s="69"/>
      <c r="S18" s="69"/>
      <c r="T18" s="68"/>
      <c r="U18" s="69"/>
      <c r="V18" s="69"/>
      <c r="W18" s="69"/>
      <c r="X18" s="69"/>
      <c r="Y18" s="69"/>
      <c r="Z18" s="69"/>
    </row>
    <row r="19" spans="1:26" ht="78">
      <c r="A19" s="67" t="s">
        <v>319</v>
      </c>
      <c r="B19" s="67">
        <v>121</v>
      </c>
      <c r="C19" s="67">
        <v>130</v>
      </c>
      <c r="D19" s="68">
        <f>E19</f>
        <v>32680700</v>
      </c>
      <c r="E19" s="68">
        <f>SUM(F19:J19)</f>
        <v>32680700</v>
      </c>
      <c r="F19" s="69"/>
      <c r="G19" s="69"/>
      <c r="H19" s="69">
        <v>32491300</v>
      </c>
      <c r="I19" s="69"/>
      <c r="J19" s="69">
        <v>189400</v>
      </c>
      <c r="K19" s="68" t="s">
        <v>312</v>
      </c>
      <c r="L19" s="69" t="s">
        <v>312</v>
      </c>
      <c r="M19" s="69" t="s">
        <v>312</v>
      </c>
      <c r="N19" s="69" t="s">
        <v>312</v>
      </c>
      <c r="O19" s="69" t="s">
        <v>312</v>
      </c>
      <c r="P19" s="69" t="s">
        <v>312</v>
      </c>
      <c r="Q19" s="69" t="s">
        <v>312</v>
      </c>
      <c r="R19" s="69" t="s">
        <v>312</v>
      </c>
      <c r="S19" s="69" t="s">
        <v>312</v>
      </c>
      <c r="T19" s="68"/>
      <c r="U19" s="69"/>
      <c r="V19" s="69"/>
      <c r="W19" s="69"/>
      <c r="X19" s="69"/>
      <c r="Y19" s="69"/>
      <c r="Z19" s="69" t="s">
        <v>312</v>
      </c>
    </row>
    <row r="20" spans="1:26" hidden="1">
      <c r="A20" s="67" t="s">
        <v>320</v>
      </c>
      <c r="B20" s="67">
        <v>122</v>
      </c>
      <c r="C20" s="67">
        <v>130</v>
      </c>
      <c r="D20" s="68">
        <f>T20</f>
        <v>0</v>
      </c>
      <c r="E20" s="68"/>
      <c r="F20" s="69"/>
      <c r="G20" s="69"/>
      <c r="H20" s="69"/>
      <c r="I20" s="69"/>
      <c r="J20" s="69"/>
      <c r="K20" s="68" t="s">
        <v>312</v>
      </c>
      <c r="L20" s="69" t="s">
        <v>312</v>
      </c>
      <c r="M20" s="69" t="s">
        <v>312</v>
      </c>
      <c r="N20" s="69" t="s">
        <v>312</v>
      </c>
      <c r="O20" s="69" t="s">
        <v>312</v>
      </c>
      <c r="P20" s="69" t="s">
        <v>312</v>
      </c>
      <c r="Q20" s="69" t="s">
        <v>312</v>
      </c>
      <c r="R20" s="69" t="s">
        <v>312</v>
      </c>
      <c r="S20" s="69" t="s">
        <v>312</v>
      </c>
      <c r="T20" s="68">
        <f>SUM(U20:Z20)</f>
        <v>0</v>
      </c>
      <c r="U20" s="69"/>
      <c r="V20" s="69"/>
      <c r="W20" s="69"/>
      <c r="X20" s="69"/>
      <c r="Y20" s="69"/>
      <c r="Z20" s="69" t="s">
        <v>312</v>
      </c>
    </row>
    <row r="21" spans="1:26" hidden="1">
      <c r="A21" s="67" t="s">
        <v>321</v>
      </c>
      <c r="B21" s="67">
        <v>123</v>
      </c>
      <c r="C21" s="67">
        <v>130</v>
      </c>
      <c r="D21" s="68">
        <f>E21+K21+S21+T21</f>
        <v>0</v>
      </c>
      <c r="E21" s="68"/>
      <c r="F21" s="69"/>
      <c r="G21" s="69"/>
      <c r="H21" s="69"/>
      <c r="I21" s="69"/>
      <c r="J21" s="69"/>
      <c r="K21" s="68"/>
      <c r="L21" s="69"/>
      <c r="M21" s="69"/>
      <c r="N21" s="69"/>
      <c r="O21" s="69"/>
      <c r="P21" s="69"/>
      <c r="Q21" s="69"/>
      <c r="R21" s="69"/>
      <c r="S21" s="69"/>
      <c r="T21" s="68">
        <f>SUM(U21:Z21)</f>
        <v>0</v>
      </c>
      <c r="U21" s="69"/>
      <c r="V21" s="69"/>
      <c r="W21" s="69"/>
      <c r="X21" s="69"/>
      <c r="Y21" s="69"/>
      <c r="Z21" s="69"/>
    </row>
    <row r="22" spans="1:26" hidden="1">
      <c r="A22" s="67" t="s">
        <v>322</v>
      </c>
      <c r="B22" s="67">
        <v>124</v>
      </c>
      <c r="C22" s="67">
        <v>130</v>
      </c>
      <c r="D22" s="68">
        <f>E22+K22+S22+T22</f>
        <v>0</v>
      </c>
      <c r="E22" s="68"/>
      <c r="F22" s="69"/>
      <c r="G22" s="69"/>
      <c r="H22" s="69"/>
      <c r="I22" s="69"/>
      <c r="J22" s="69"/>
      <c r="K22" s="68"/>
      <c r="L22" s="69"/>
      <c r="M22" s="69"/>
      <c r="N22" s="69"/>
      <c r="O22" s="69"/>
      <c r="P22" s="69"/>
      <c r="Q22" s="69"/>
      <c r="R22" s="69"/>
      <c r="S22" s="69"/>
      <c r="T22" s="68">
        <f>SUM(U22:Z22)</f>
        <v>0</v>
      </c>
      <c r="U22" s="69"/>
      <c r="V22" s="69"/>
      <c r="W22" s="69"/>
      <c r="X22" s="69"/>
      <c r="Y22" s="69"/>
      <c r="Z22" s="69"/>
    </row>
    <row r="23" spans="1:26" ht="26" hidden="1">
      <c r="A23" s="67" t="s">
        <v>323</v>
      </c>
      <c r="B23" s="67">
        <v>125</v>
      </c>
      <c r="C23" s="67">
        <v>130</v>
      </c>
      <c r="D23" s="68">
        <f>E23+K23+S23+T23</f>
        <v>0</v>
      </c>
      <c r="E23" s="68"/>
      <c r="F23" s="69"/>
      <c r="G23" s="69"/>
      <c r="H23" s="69"/>
      <c r="I23" s="69"/>
      <c r="J23" s="69"/>
      <c r="K23" s="68"/>
      <c r="L23" s="69"/>
      <c r="M23" s="69"/>
      <c r="N23" s="69"/>
      <c r="O23" s="69"/>
      <c r="P23" s="69"/>
      <c r="Q23" s="69"/>
      <c r="R23" s="69"/>
      <c r="S23" s="69"/>
      <c r="T23" s="68">
        <f>SUM(U23:Z23)</f>
        <v>0</v>
      </c>
      <c r="U23" s="69"/>
      <c r="V23" s="69"/>
      <c r="W23" s="69"/>
      <c r="X23" s="69"/>
      <c r="Y23" s="69"/>
      <c r="Z23" s="69"/>
    </row>
    <row r="24" spans="1:26" ht="26" hidden="1">
      <c r="A24" s="67" t="s">
        <v>324</v>
      </c>
      <c r="B24" s="67">
        <v>126</v>
      </c>
      <c r="C24" s="67">
        <v>130</v>
      </c>
      <c r="D24" s="68">
        <f>E24+K24+S24+T24</f>
        <v>0</v>
      </c>
      <c r="E24" s="68"/>
      <c r="F24" s="69"/>
      <c r="G24" s="69"/>
      <c r="H24" s="69"/>
      <c r="I24" s="69"/>
      <c r="J24" s="69"/>
      <c r="K24" s="68"/>
      <c r="L24" s="69"/>
      <c r="M24" s="69"/>
      <c r="N24" s="69"/>
      <c r="O24" s="69"/>
      <c r="P24" s="69"/>
      <c r="Q24" s="69"/>
      <c r="R24" s="69"/>
      <c r="S24" s="69"/>
      <c r="T24" s="68">
        <f>SUM(U24:Z24)</f>
        <v>0</v>
      </c>
      <c r="U24" s="69"/>
      <c r="V24" s="69"/>
      <c r="W24" s="69"/>
      <c r="X24" s="69"/>
      <c r="Y24" s="69"/>
      <c r="Z24" s="69"/>
    </row>
    <row r="25" spans="1:26" hidden="1">
      <c r="A25" s="67"/>
      <c r="B25" s="67"/>
      <c r="C25" s="67"/>
      <c r="D25" s="68"/>
      <c r="E25" s="68"/>
      <c r="F25" s="69"/>
      <c r="G25" s="69"/>
      <c r="H25" s="69"/>
      <c r="I25" s="69"/>
      <c r="J25" s="69"/>
      <c r="K25" s="68"/>
      <c r="L25" s="69"/>
      <c r="M25" s="69"/>
      <c r="N25" s="69"/>
      <c r="O25" s="69"/>
      <c r="P25" s="69"/>
      <c r="Q25" s="69"/>
      <c r="R25" s="69"/>
      <c r="S25" s="69"/>
      <c r="T25" s="68"/>
      <c r="U25" s="69"/>
      <c r="V25" s="69"/>
      <c r="W25" s="69"/>
      <c r="X25" s="69"/>
      <c r="Y25" s="69"/>
      <c r="Z25" s="69"/>
    </row>
    <row r="26" spans="1:26" ht="26" hidden="1">
      <c r="A26" s="67" t="s">
        <v>325</v>
      </c>
      <c r="B26" s="67">
        <v>130</v>
      </c>
      <c r="C26" s="67">
        <v>140</v>
      </c>
      <c r="D26" s="68">
        <f>T26</f>
        <v>0</v>
      </c>
      <c r="E26" s="68" t="s">
        <v>312</v>
      </c>
      <c r="F26" s="69" t="s">
        <v>312</v>
      </c>
      <c r="G26" s="69" t="s">
        <v>312</v>
      </c>
      <c r="H26" s="69" t="s">
        <v>312</v>
      </c>
      <c r="I26" s="69" t="s">
        <v>312</v>
      </c>
      <c r="J26" s="69" t="s">
        <v>312</v>
      </c>
      <c r="K26" s="68" t="s">
        <v>312</v>
      </c>
      <c r="L26" s="69" t="s">
        <v>312</v>
      </c>
      <c r="M26" s="69" t="s">
        <v>312</v>
      </c>
      <c r="N26" s="69" t="s">
        <v>312</v>
      </c>
      <c r="O26" s="69" t="s">
        <v>312</v>
      </c>
      <c r="P26" s="69" t="s">
        <v>312</v>
      </c>
      <c r="Q26" s="69" t="s">
        <v>312</v>
      </c>
      <c r="R26" s="69" t="s">
        <v>312</v>
      </c>
      <c r="S26" s="69" t="s">
        <v>312</v>
      </c>
      <c r="T26" s="68">
        <f>SUM(U26:Z26)</f>
        <v>0</v>
      </c>
      <c r="U26" s="69"/>
      <c r="V26" s="69"/>
      <c r="W26" s="69"/>
      <c r="X26" s="69"/>
      <c r="Y26" s="69"/>
      <c r="Z26" s="69" t="s">
        <v>312</v>
      </c>
    </row>
    <row r="27" spans="1:26" hidden="1">
      <c r="A27" s="67"/>
      <c r="B27" s="67"/>
      <c r="C27" s="67"/>
      <c r="D27" s="68"/>
      <c r="E27" s="68"/>
      <c r="F27" s="69"/>
      <c r="G27" s="69"/>
      <c r="H27" s="69"/>
      <c r="I27" s="69"/>
      <c r="J27" s="69"/>
      <c r="K27" s="68"/>
      <c r="L27" s="69"/>
      <c r="M27" s="69"/>
      <c r="N27" s="69"/>
      <c r="O27" s="69"/>
      <c r="P27" s="69"/>
      <c r="Q27" s="69"/>
      <c r="R27" s="69"/>
      <c r="S27" s="69"/>
      <c r="T27" s="68"/>
      <c r="U27" s="69"/>
      <c r="V27" s="69"/>
      <c r="W27" s="69"/>
      <c r="X27" s="69"/>
      <c r="Y27" s="69"/>
      <c r="Z27" s="69"/>
    </row>
    <row r="28" spans="1:26" ht="65" hidden="1">
      <c r="A28" s="67" t="s">
        <v>326</v>
      </c>
      <c r="B28" s="67">
        <v>140</v>
      </c>
      <c r="C28" s="67">
        <v>150</v>
      </c>
      <c r="D28" s="68">
        <f>T28</f>
        <v>0</v>
      </c>
      <c r="E28" s="68" t="s">
        <v>312</v>
      </c>
      <c r="F28" s="69" t="s">
        <v>312</v>
      </c>
      <c r="G28" s="69" t="s">
        <v>312</v>
      </c>
      <c r="H28" s="69" t="s">
        <v>312</v>
      </c>
      <c r="I28" s="69" t="s">
        <v>312</v>
      </c>
      <c r="J28" s="69" t="s">
        <v>312</v>
      </c>
      <c r="K28" s="68" t="s">
        <v>312</v>
      </c>
      <c r="L28" s="69" t="s">
        <v>312</v>
      </c>
      <c r="M28" s="69" t="s">
        <v>312</v>
      </c>
      <c r="N28" s="69" t="s">
        <v>312</v>
      </c>
      <c r="O28" s="69" t="s">
        <v>312</v>
      </c>
      <c r="P28" s="69" t="s">
        <v>312</v>
      </c>
      <c r="Q28" s="69" t="s">
        <v>312</v>
      </c>
      <c r="R28" s="69" t="s">
        <v>312</v>
      </c>
      <c r="S28" s="69" t="s">
        <v>312</v>
      </c>
      <c r="T28" s="68">
        <f>SUM(U28:Z28)</f>
        <v>0</v>
      </c>
      <c r="U28" s="69"/>
      <c r="V28" s="69"/>
      <c r="W28" s="69"/>
      <c r="X28" s="69"/>
      <c r="Y28" s="69"/>
      <c r="Z28" s="69" t="s">
        <v>312</v>
      </c>
    </row>
    <row r="29" spans="1:26">
      <c r="A29" s="67"/>
      <c r="B29" s="67"/>
      <c r="C29" s="67"/>
      <c r="D29" s="68"/>
      <c r="E29" s="68"/>
      <c r="F29" s="69"/>
      <c r="G29" s="69"/>
      <c r="H29" s="69"/>
      <c r="I29" s="69"/>
      <c r="J29" s="69"/>
      <c r="K29" s="68"/>
      <c r="L29" s="69"/>
      <c r="M29" s="69"/>
      <c r="N29" s="69"/>
      <c r="O29" s="69"/>
      <c r="P29" s="69"/>
      <c r="Q29" s="69"/>
      <c r="R29" s="69"/>
      <c r="S29" s="69"/>
      <c r="T29" s="68"/>
      <c r="U29" s="69"/>
      <c r="V29" s="69"/>
      <c r="W29" s="69"/>
      <c r="X29" s="69"/>
      <c r="Y29" s="69"/>
      <c r="Z29" s="69"/>
    </row>
    <row r="30" spans="1:26" ht="26">
      <c r="A30" s="67" t="s">
        <v>327</v>
      </c>
      <c r="B30" s="67">
        <v>150</v>
      </c>
      <c r="C30" s="67">
        <v>180</v>
      </c>
      <c r="D30" s="68">
        <f>K30+S30</f>
        <v>2374500</v>
      </c>
      <c r="E30" s="68" t="s">
        <v>312</v>
      </c>
      <c r="F30" s="69" t="s">
        <v>312</v>
      </c>
      <c r="G30" s="69" t="s">
        <v>312</v>
      </c>
      <c r="H30" s="69" t="s">
        <v>312</v>
      </c>
      <c r="I30" s="69" t="s">
        <v>312</v>
      </c>
      <c r="J30" s="69" t="s">
        <v>312</v>
      </c>
      <c r="K30" s="68">
        <f>SUM(L30:R30)</f>
        <v>2374500</v>
      </c>
      <c r="L30" s="69">
        <v>562400</v>
      </c>
      <c r="M30" s="69">
        <v>1300</v>
      </c>
      <c r="N30" s="69"/>
      <c r="O30" s="69"/>
      <c r="P30" s="69"/>
      <c r="Q30" s="69">
        <v>1810800</v>
      </c>
      <c r="R30" s="69"/>
      <c r="S30" s="69"/>
      <c r="T30" s="68" t="s">
        <v>312</v>
      </c>
      <c r="U30" s="69" t="s">
        <v>312</v>
      </c>
      <c r="V30" s="69" t="s">
        <v>312</v>
      </c>
      <c r="W30" s="69" t="s">
        <v>312</v>
      </c>
      <c r="X30" s="69" t="s">
        <v>312</v>
      </c>
      <c r="Y30" s="69" t="s">
        <v>312</v>
      </c>
      <c r="Z30" s="69" t="s">
        <v>312</v>
      </c>
    </row>
    <row r="31" spans="1:26">
      <c r="A31" s="67"/>
      <c r="B31" s="67"/>
      <c r="C31" s="67"/>
      <c r="D31" s="68"/>
      <c r="E31" s="68"/>
      <c r="F31" s="69"/>
      <c r="G31" s="69"/>
      <c r="H31" s="69"/>
      <c r="I31" s="69"/>
      <c r="J31" s="69"/>
      <c r="K31" s="68"/>
      <c r="L31" s="69"/>
      <c r="M31" s="69"/>
      <c r="N31" s="69"/>
      <c r="O31" s="69"/>
      <c r="P31" s="69"/>
      <c r="Q31" s="69"/>
      <c r="R31" s="69"/>
      <c r="S31" s="69"/>
      <c r="T31" s="68"/>
      <c r="U31" s="69"/>
      <c r="V31" s="69"/>
      <c r="W31" s="69"/>
      <c r="X31" s="69"/>
      <c r="Y31" s="69"/>
      <c r="Z31" s="69"/>
    </row>
    <row r="32" spans="1:26">
      <c r="A32" s="79" t="s">
        <v>328</v>
      </c>
      <c r="B32" s="67">
        <v>160</v>
      </c>
      <c r="C32" s="67"/>
      <c r="D32" s="68">
        <f>T32</f>
        <v>35000</v>
      </c>
      <c r="E32" s="68" t="s">
        <v>312</v>
      </c>
      <c r="F32" s="69" t="s">
        <v>312</v>
      </c>
      <c r="G32" s="69" t="s">
        <v>312</v>
      </c>
      <c r="H32" s="69" t="s">
        <v>312</v>
      </c>
      <c r="I32" s="69" t="s">
        <v>312</v>
      </c>
      <c r="J32" s="69" t="s">
        <v>312</v>
      </c>
      <c r="K32" s="68" t="s">
        <v>312</v>
      </c>
      <c r="L32" s="69" t="s">
        <v>312</v>
      </c>
      <c r="M32" s="69" t="s">
        <v>312</v>
      </c>
      <c r="N32" s="69" t="s">
        <v>312</v>
      </c>
      <c r="O32" s="69" t="s">
        <v>312</v>
      </c>
      <c r="P32" s="69" t="s">
        <v>312</v>
      </c>
      <c r="Q32" s="69" t="s">
        <v>312</v>
      </c>
      <c r="R32" s="69" t="s">
        <v>312</v>
      </c>
      <c r="S32" s="69" t="s">
        <v>312</v>
      </c>
      <c r="T32" s="68">
        <f>SUM(U32:Z32)</f>
        <v>35000</v>
      </c>
      <c r="U32" s="69"/>
      <c r="V32" s="69"/>
      <c r="W32" s="69"/>
      <c r="X32" s="69"/>
      <c r="Y32" s="69">
        <f>Y34</f>
        <v>35000</v>
      </c>
      <c r="Z32" s="69" t="s">
        <v>312</v>
      </c>
    </row>
    <row r="33" spans="1:26">
      <c r="A33" s="67" t="s">
        <v>227</v>
      </c>
      <c r="B33" s="67"/>
      <c r="C33" s="67"/>
      <c r="D33" s="68"/>
      <c r="E33" s="68"/>
      <c r="F33" s="69"/>
      <c r="G33" s="69"/>
      <c r="H33" s="69"/>
      <c r="I33" s="69"/>
      <c r="J33" s="69"/>
      <c r="K33" s="68"/>
      <c r="L33" s="69"/>
      <c r="M33" s="69"/>
      <c r="N33" s="69"/>
      <c r="O33" s="69"/>
      <c r="P33" s="69"/>
      <c r="Q33" s="69"/>
      <c r="R33" s="69"/>
      <c r="S33" s="69"/>
      <c r="T33" s="68"/>
      <c r="U33" s="69"/>
      <c r="V33" s="69"/>
      <c r="W33" s="69"/>
      <c r="X33" s="69"/>
      <c r="Y33" s="69"/>
      <c r="Z33" s="69"/>
    </row>
    <row r="34" spans="1:26" ht="39">
      <c r="A34" s="67" t="s">
        <v>657</v>
      </c>
      <c r="B34" s="67">
        <v>160.1</v>
      </c>
      <c r="C34" s="67">
        <v>180</v>
      </c>
      <c r="D34" s="68">
        <f t="shared" ref="D34:D39" si="1">E34+K34+S34+T34</f>
        <v>35000</v>
      </c>
      <c r="E34" s="68"/>
      <c r="F34" s="69"/>
      <c r="G34" s="69"/>
      <c r="H34" s="69"/>
      <c r="I34" s="69"/>
      <c r="J34" s="69"/>
      <c r="K34" s="68"/>
      <c r="L34" s="69"/>
      <c r="M34" s="69"/>
      <c r="N34" s="69"/>
      <c r="O34" s="69"/>
      <c r="P34" s="69"/>
      <c r="Q34" s="69"/>
      <c r="R34" s="69"/>
      <c r="S34" s="69"/>
      <c r="T34" s="68">
        <f>SUM(U34:Z34)</f>
        <v>35000</v>
      </c>
      <c r="U34" s="69"/>
      <c r="V34" s="69"/>
      <c r="W34" s="69"/>
      <c r="X34" s="69"/>
      <c r="Y34" s="69">
        <v>35000</v>
      </c>
      <c r="Z34" s="69"/>
    </row>
    <row r="35" spans="1:26" ht="26" hidden="1">
      <c r="A35" s="67" t="s">
        <v>658</v>
      </c>
      <c r="B35" s="67">
        <v>160.19999999999999</v>
      </c>
      <c r="C35" s="67">
        <v>180</v>
      </c>
      <c r="D35" s="68">
        <f t="shared" si="1"/>
        <v>0</v>
      </c>
      <c r="E35" s="68"/>
      <c r="F35" s="69"/>
      <c r="G35" s="69"/>
      <c r="H35" s="69"/>
      <c r="I35" s="69"/>
      <c r="J35" s="69"/>
      <c r="K35" s="68"/>
      <c r="L35" s="69"/>
      <c r="M35" s="69"/>
      <c r="N35" s="69"/>
      <c r="O35" s="69"/>
      <c r="P35" s="69"/>
      <c r="Q35" s="69"/>
      <c r="R35" s="69"/>
      <c r="S35" s="69"/>
      <c r="T35" s="68">
        <f>SUM(U35:Z35)</f>
        <v>0</v>
      </c>
      <c r="U35" s="69"/>
      <c r="V35" s="69"/>
      <c r="W35" s="69"/>
      <c r="X35" s="69"/>
      <c r="Y35" s="69"/>
      <c r="Z35" s="69"/>
    </row>
    <row r="36" spans="1:26" hidden="1">
      <c r="A36" s="67" t="s">
        <v>329</v>
      </c>
      <c r="B36" s="67" t="s">
        <v>330</v>
      </c>
      <c r="C36" s="67"/>
      <c r="D36" s="68">
        <f t="shared" si="1"/>
        <v>0</v>
      </c>
      <c r="E36" s="68"/>
      <c r="F36" s="69"/>
      <c r="G36" s="69"/>
      <c r="H36" s="69"/>
      <c r="I36" s="69"/>
      <c r="J36" s="69"/>
      <c r="K36" s="68"/>
      <c r="L36" s="69"/>
      <c r="M36" s="69"/>
      <c r="N36" s="69"/>
      <c r="O36" s="69"/>
      <c r="P36" s="69"/>
      <c r="Q36" s="69"/>
      <c r="R36" s="69"/>
      <c r="S36" s="69"/>
      <c r="T36" s="68"/>
      <c r="U36" s="69"/>
      <c r="V36" s="69"/>
      <c r="W36" s="69"/>
      <c r="X36" s="69"/>
      <c r="Y36" s="69"/>
      <c r="Z36" s="69"/>
    </row>
    <row r="37" spans="1:26" hidden="1">
      <c r="A37" s="67"/>
      <c r="B37" s="67"/>
      <c r="C37" s="67"/>
      <c r="D37" s="68">
        <f t="shared" si="1"/>
        <v>0</v>
      </c>
      <c r="E37" s="68"/>
      <c r="F37" s="69"/>
      <c r="G37" s="69"/>
      <c r="H37" s="69"/>
      <c r="I37" s="69"/>
      <c r="J37" s="69"/>
      <c r="K37" s="68"/>
      <c r="L37" s="69"/>
      <c r="M37" s="69"/>
      <c r="N37" s="69"/>
      <c r="O37" s="69"/>
      <c r="P37" s="69"/>
      <c r="Q37" s="69"/>
      <c r="R37" s="69"/>
      <c r="S37" s="69"/>
      <c r="T37" s="68"/>
      <c r="U37" s="69"/>
      <c r="V37" s="69"/>
      <c r="W37" s="69"/>
      <c r="X37" s="69"/>
      <c r="Y37" s="69"/>
      <c r="Z37" s="69"/>
    </row>
    <row r="38" spans="1:26" hidden="1">
      <c r="A38" s="67"/>
      <c r="B38" s="67"/>
      <c r="C38" s="67"/>
      <c r="D38" s="68">
        <f t="shared" si="1"/>
        <v>0</v>
      </c>
      <c r="E38" s="68"/>
      <c r="F38" s="69"/>
      <c r="G38" s="69"/>
      <c r="H38" s="69"/>
      <c r="I38" s="69"/>
      <c r="J38" s="69"/>
      <c r="K38" s="68"/>
      <c r="L38" s="69"/>
      <c r="M38" s="69"/>
      <c r="N38" s="69"/>
      <c r="O38" s="69"/>
      <c r="P38" s="69"/>
      <c r="Q38" s="69"/>
      <c r="R38" s="69"/>
      <c r="S38" s="69"/>
      <c r="T38" s="68"/>
      <c r="U38" s="69"/>
      <c r="V38" s="69"/>
      <c r="W38" s="69"/>
      <c r="X38" s="69"/>
      <c r="Y38" s="69"/>
      <c r="Z38" s="69"/>
    </row>
    <row r="39" spans="1:26" ht="26" hidden="1">
      <c r="A39" s="67" t="s">
        <v>331</v>
      </c>
      <c r="B39" s="67">
        <v>180</v>
      </c>
      <c r="C39" s="67" t="s">
        <v>312</v>
      </c>
      <c r="D39" s="68">
        <f t="shared" si="1"/>
        <v>0</v>
      </c>
      <c r="E39" s="68"/>
      <c r="F39" s="69"/>
      <c r="G39" s="69"/>
      <c r="H39" s="69"/>
      <c r="I39" s="69"/>
      <c r="J39" s="69"/>
      <c r="K39" s="68"/>
      <c r="L39" s="69"/>
      <c r="M39" s="69"/>
      <c r="N39" s="69"/>
      <c r="O39" s="69"/>
      <c r="P39" s="69"/>
      <c r="Q39" s="69"/>
      <c r="R39" s="69"/>
      <c r="S39" s="69"/>
      <c r="T39" s="68">
        <f>SUM(U39:Z39)</f>
        <v>0</v>
      </c>
      <c r="U39" s="69"/>
      <c r="V39" s="69"/>
      <c r="W39" s="69"/>
      <c r="X39" s="69"/>
      <c r="Y39" s="69"/>
      <c r="Z39" s="69"/>
    </row>
    <row r="40" spans="1:26" hidden="1">
      <c r="A40" s="67" t="s">
        <v>227</v>
      </c>
      <c r="B40" s="67"/>
      <c r="C40" s="67"/>
      <c r="D40" s="68"/>
      <c r="E40" s="68"/>
      <c r="F40" s="69"/>
      <c r="G40" s="69"/>
      <c r="H40" s="69"/>
      <c r="I40" s="69"/>
      <c r="J40" s="69"/>
      <c r="K40" s="68"/>
      <c r="L40" s="69"/>
      <c r="M40" s="69"/>
      <c r="N40" s="69"/>
      <c r="O40" s="69"/>
      <c r="P40" s="69"/>
      <c r="Q40" s="69"/>
      <c r="R40" s="69"/>
      <c r="S40" s="69"/>
      <c r="T40" s="68"/>
      <c r="U40" s="69"/>
      <c r="V40" s="69"/>
      <c r="W40" s="69"/>
      <c r="X40" s="69"/>
      <c r="Y40" s="69"/>
      <c r="Z40" s="69"/>
    </row>
    <row r="41" spans="1:26" ht="26" hidden="1">
      <c r="A41" s="67" t="s">
        <v>332</v>
      </c>
      <c r="B41" s="67">
        <v>181</v>
      </c>
      <c r="C41" s="67">
        <v>400</v>
      </c>
      <c r="D41" s="68">
        <f>T41</f>
        <v>0</v>
      </c>
      <c r="E41" s="68" t="s">
        <v>312</v>
      </c>
      <c r="F41" s="69" t="s">
        <v>312</v>
      </c>
      <c r="G41" s="69" t="s">
        <v>312</v>
      </c>
      <c r="H41" s="69" t="s">
        <v>312</v>
      </c>
      <c r="I41" s="69" t="s">
        <v>312</v>
      </c>
      <c r="J41" s="69" t="s">
        <v>312</v>
      </c>
      <c r="K41" s="68" t="s">
        <v>312</v>
      </c>
      <c r="L41" s="69" t="s">
        <v>312</v>
      </c>
      <c r="M41" s="69" t="s">
        <v>312</v>
      </c>
      <c r="N41" s="69" t="s">
        <v>312</v>
      </c>
      <c r="O41" s="69" t="s">
        <v>312</v>
      </c>
      <c r="P41" s="69" t="s">
        <v>312</v>
      </c>
      <c r="Q41" s="69" t="s">
        <v>312</v>
      </c>
      <c r="R41" s="69" t="s">
        <v>312</v>
      </c>
      <c r="S41" s="69" t="s">
        <v>312</v>
      </c>
      <c r="T41" s="68">
        <f>SUM(U41:Z41)</f>
        <v>0</v>
      </c>
      <c r="U41" s="69"/>
      <c r="V41" s="69"/>
      <c r="W41" s="69"/>
      <c r="X41" s="69"/>
      <c r="Y41" s="69"/>
      <c r="Z41" s="69" t="s">
        <v>312</v>
      </c>
    </row>
    <row r="42" spans="1:26" hidden="1">
      <c r="A42" s="67" t="s">
        <v>225</v>
      </c>
      <c r="B42" s="67"/>
      <c r="C42" s="67"/>
      <c r="D42" s="68"/>
      <c r="E42" s="68"/>
      <c r="F42" s="69"/>
      <c r="G42" s="69"/>
      <c r="H42" s="69"/>
      <c r="I42" s="69"/>
      <c r="J42" s="69"/>
      <c r="K42" s="68"/>
      <c r="L42" s="69"/>
      <c r="M42" s="69"/>
      <c r="N42" s="69"/>
      <c r="O42" s="69"/>
      <c r="P42" s="69"/>
      <c r="Q42" s="69"/>
      <c r="R42" s="69"/>
      <c r="S42" s="69"/>
      <c r="T42" s="68"/>
      <c r="U42" s="69"/>
      <c r="V42" s="69"/>
      <c r="W42" s="69"/>
      <c r="X42" s="69"/>
      <c r="Y42" s="69"/>
      <c r="Z42" s="69"/>
    </row>
    <row r="43" spans="1:26" hidden="1">
      <c r="A43" s="67" t="s">
        <v>333</v>
      </c>
      <c r="B43" s="67">
        <v>181.1</v>
      </c>
      <c r="C43" s="67">
        <v>410</v>
      </c>
      <c r="D43" s="68">
        <f>T43</f>
        <v>0</v>
      </c>
      <c r="E43" s="68" t="s">
        <v>312</v>
      </c>
      <c r="F43" s="69" t="s">
        <v>312</v>
      </c>
      <c r="G43" s="69" t="s">
        <v>312</v>
      </c>
      <c r="H43" s="69" t="s">
        <v>312</v>
      </c>
      <c r="I43" s="69" t="s">
        <v>312</v>
      </c>
      <c r="J43" s="69" t="s">
        <v>312</v>
      </c>
      <c r="K43" s="68" t="s">
        <v>312</v>
      </c>
      <c r="L43" s="69" t="s">
        <v>312</v>
      </c>
      <c r="M43" s="69" t="s">
        <v>312</v>
      </c>
      <c r="N43" s="69" t="s">
        <v>312</v>
      </c>
      <c r="O43" s="69" t="s">
        <v>312</v>
      </c>
      <c r="P43" s="69" t="s">
        <v>312</v>
      </c>
      <c r="Q43" s="69" t="s">
        <v>312</v>
      </c>
      <c r="R43" s="69" t="s">
        <v>312</v>
      </c>
      <c r="S43" s="69" t="s">
        <v>312</v>
      </c>
      <c r="T43" s="68">
        <f>SUM(U43:Z43)</f>
        <v>0</v>
      </c>
      <c r="U43" s="69"/>
      <c r="V43" s="69"/>
      <c r="W43" s="69"/>
      <c r="X43" s="69"/>
      <c r="Y43" s="69"/>
      <c r="Z43" s="69" t="s">
        <v>312</v>
      </c>
    </row>
    <row r="44" spans="1:26" ht="26" hidden="1">
      <c r="A44" s="67" t="s">
        <v>334</v>
      </c>
      <c r="B44" s="67">
        <v>181.2</v>
      </c>
      <c r="C44" s="67">
        <v>420</v>
      </c>
      <c r="D44" s="68">
        <f>T44</f>
        <v>0</v>
      </c>
      <c r="E44" s="68" t="s">
        <v>312</v>
      </c>
      <c r="F44" s="69" t="s">
        <v>312</v>
      </c>
      <c r="G44" s="69" t="s">
        <v>312</v>
      </c>
      <c r="H44" s="69" t="s">
        <v>312</v>
      </c>
      <c r="I44" s="69" t="s">
        <v>312</v>
      </c>
      <c r="J44" s="69" t="s">
        <v>312</v>
      </c>
      <c r="K44" s="68" t="s">
        <v>312</v>
      </c>
      <c r="L44" s="69" t="s">
        <v>312</v>
      </c>
      <c r="M44" s="69" t="s">
        <v>312</v>
      </c>
      <c r="N44" s="69" t="s">
        <v>312</v>
      </c>
      <c r="O44" s="69" t="s">
        <v>312</v>
      </c>
      <c r="P44" s="69" t="s">
        <v>312</v>
      </c>
      <c r="Q44" s="69" t="s">
        <v>312</v>
      </c>
      <c r="R44" s="69" t="s">
        <v>312</v>
      </c>
      <c r="S44" s="69" t="s">
        <v>312</v>
      </c>
      <c r="T44" s="68">
        <f>SUM(U44:Z44)</f>
        <v>0</v>
      </c>
      <c r="U44" s="69"/>
      <c r="V44" s="69"/>
      <c r="W44" s="69"/>
      <c r="X44" s="69"/>
      <c r="Y44" s="69"/>
      <c r="Z44" s="69" t="s">
        <v>312</v>
      </c>
    </row>
    <row r="45" spans="1:26" ht="26" hidden="1">
      <c r="A45" s="67" t="s">
        <v>335</v>
      </c>
      <c r="B45" s="67">
        <v>181.3</v>
      </c>
      <c r="C45" s="67">
        <v>430</v>
      </c>
      <c r="D45" s="68">
        <f>E45+K45+S45+T45</f>
        <v>0</v>
      </c>
      <c r="E45" s="68"/>
      <c r="F45" s="69"/>
      <c r="G45" s="69"/>
      <c r="H45" s="69"/>
      <c r="I45" s="69"/>
      <c r="J45" s="69"/>
      <c r="K45" s="68"/>
      <c r="L45" s="69"/>
      <c r="M45" s="69"/>
      <c r="N45" s="69"/>
      <c r="O45" s="69"/>
      <c r="P45" s="69"/>
      <c r="Q45" s="69"/>
      <c r="R45" s="69"/>
      <c r="S45" s="69"/>
      <c r="T45" s="68">
        <f>SUM(U45:Z45)</f>
        <v>0</v>
      </c>
      <c r="U45" s="69"/>
      <c r="V45" s="69"/>
      <c r="W45" s="69"/>
      <c r="X45" s="69"/>
      <c r="Y45" s="69"/>
      <c r="Z45" s="69"/>
    </row>
    <row r="46" spans="1:26" ht="26" hidden="1">
      <c r="A46" s="67" t="s">
        <v>336</v>
      </c>
      <c r="B46" s="67">
        <v>181.4</v>
      </c>
      <c r="C46" s="67">
        <v>440</v>
      </c>
      <c r="D46" s="68">
        <f>E46+K46+S46+T46</f>
        <v>0</v>
      </c>
      <c r="E46" s="68"/>
      <c r="F46" s="69"/>
      <c r="G46" s="69"/>
      <c r="H46" s="69"/>
      <c r="I46" s="69"/>
      <c r="J46" s="69"/>
      <c r="K46" s="68"/>
      <c r="L46" s="69"/>
      <c r="M46" s="69"/>
      <c r="N46" s="69"/>
      <c r="O46" s="69"/>
      <c r="P46" s="69"/>
      <c r="Q46" s="69"/>
      <c r="R46" s="69"/>
      <c r="S46" s="69"/>
      <c r="T46" s="68">
        <f>SUM(U46:Z46)</f>
        <v>0</v>
      </c>
      <c r="U46" s="69"/>
      <c r="V46" s="69"/>
      <c r="W46" s="69"/>
      <c r="X46" s="69"/>
      <c r="Y46" s="69"/>
      <c r="Z46" s="69"/>
    </row>
    <row r="47" spans="1:26" ht="26" hidden="1">
      <c r="A47" s="67" t="s">
        <v>337</v>
      </c>
      <c r="B47" s="67">
        <v>182</v>
      </c>
      <c r="C47" s="67">
        <v>600</v>
      </c>
      <c r="D47" s="68">
        <f>E47+K47+S47+T47</f>
        <v>0</v>
      </c>
      <c r="E47" s="68"/>
      <c r="F47" s="69"/>
      <c r="G47" s="69"/>
      <c r="H47" s="69"/>
      <c r="I47" s="69"/>
      <c r="J47" s="69"/>
      <c r="K47" s="68"/>
      <c r="L47" s="69"/>
      <c r="M47" s="69"/>
      <c r="N47" s="69"/>
      <c r="O47" s="69"/>
      <c r="P47" s="69"/>
      <c r="Q47" s="69"/>
      <c r="R47" s="69"/>
      <c r="S47" s="69"/>
      <c r="T47" s="68">
        <f>SUM(U47:Z47)</f>
        <v>0</v>
      </c>
      <c r="U47" s="69"/>
      <c r="V47" s="69"/>
      <c r="W47" s="69"/>
      <c r="X47" s="69"/>
      <c r="Y47" s="69"/>
      <c r="Z47" s="69"/>
    </row>
    <row r="48" spans="1:26" hidden="1">
      <c r="A48" s="67" t="s">
        <v>225</v>
      </c>
      <c r="B48" s="67"/>
      <c r="C48" s="67"/>
      <c r="D48" s="68"/>
      <c r="E48" s="68"/>
      <c r="F48" s="69"/>
      <c r="G48" s="69"/>
      <c r="H48" s="69"/>
      <c r="I48" s="69"/>
      <c r="J48" s="69"/>
      <c r="K48" s="68"/>
      <c r="L48" s="69"/>
      <c r="M48" s="69"/>
      <c r="N48" s="69"/>
      <c r="O48" s="69"/>
      <c r="P48" s="69"/>
      <c r="Q48" s="69"/>
      <c r="R48" s="69"/>
      <c r="S48" s="69"/>
      <c r="T48" s="68"/>
      <c r="U48" s="69"/>
      <c r="V48" s="69"/>
      <c r="W48" s="69"/>
      <c r="X48" s="69"/>
      <c r="Y48" s="69"/>
      <c r="Z48" s="69"/>
    </row>
    <row r="49" spans="1:27" hidden="1">
      <c r="A49" s="67" t="s">
        <v>338</v>
      </c>
      <c r="B49" s="67"/>
      <c r="C49" s="67"/>
      <c r="D49" s="68">
        <f>E49+K49+S49+T49</f>
        <v>0</v>
      </c>
      <c r="E49" s="68"/>
      <c r="F49" s="69"/>
      <c r="G49" s="69"/>
      <c r="H49" s="69"/>
      <c r="I49" s="69"/>
      <c r="J49" s="69"/>
      <c r="K49" s="68"/>
      <c r="L49" s="69"/>
      <c r="M49" s="69"/>
      <c r="N49" s="69"/>
      <c r="O49" s="69"/>
      <c r="P49" s="69"/>
      <c r="Q49" s="69"/>
      <c r="R49" s="69"/>
      <c r="S49" s="69"/>
      <c r="T49" s="68">
        <f>SUM(U49:Z49)</f>
        <v>0</v>
      </c>
      <c r="U49" s="69"/>
      <c r="V49" s="69"/>
      <c r="W49" s="69"/>
      <c r="X49" s="69"/>
      <c r="Y49" s="69"/>
      <c r="Z49" s="69"/>
    </row>
    <row r="50" spans="1:27" ht="15.5">
      <c r="A50" s="67"/>
      <c r="B50" s="67"/>
      <c r="C50" s="80"/>
      <c r="D50" s="81">
        <f>E50+K50+S50+T50</f>
        <v>0</v>
      </c>
      <c r="E50" s="81">
        <f>E10+E143-E144-E51</f>
        <v>0</v>
      </c>
      <c r="F50" s="81">
        <f t="shared" ref="F50:Z50" si="2">F10+F143-F144-F51</f>
        <v>0</v>
      </c>
      <c r="G50" s="81">
        <f t="shared" si="2"/>
        <v>0</v>
      </c>
      <c r="H50" s="81">
        <f>H10+H143-H144-H51</f>
        <v>0</v>
      </c>
      <c r="I50" s="81">
        <f t="shared" si="2"/>
        <v>0</v>
      </c>
      <c r="J50" s="81">
        <f t="shared" si="2"/>
        <v>0</v>
      </c>
      <c r="K50" s="81">
        <f>K10+K143-K143-K51</f>
        <v>0</v>
      </c>
      <c r="L50" s="81">
        <f t="shared" ref="L50:R50" si="3">L10+L143-L143-L51</f>
        <v>0</v>
      </c>
      <c r="M50" s="81">
        <f t="shared" si="3"/>
        <v>0</v>
      </c>
      <c r="N50" s="81">
        <f t="shared" si="3"/>
        <v>0</v>
      </c>
      <c r="O50" s="81">
        <f t="shared" si="3"/>
        <v>0</v>
      </c>
      <c r="P50" s="81">
        <f t="shared" si="3"/>
        <v>0</v>
      </c>
      <c r="Q50" s="81">
        <f t="shared" si="3"/>
        <v>0</v>
      </c>
      <c r="R50" s="81">
        <f t="shared" si="3"/>
        <v>0</v>
      </c>
      <c r="S50" s="81">
        <f t="shared" si="2"/>
        <v>0</v>
      </c>
      <c r="T50" s="81">
        <f t="shared" si="2"/>
        <v>0</v>
      </c>
      <c r="U50" s="81">
        <f t="shared" si="2"/>
        <v>0</v>
      </c>
      <c r="V50" s="81">
        <f t="shared" si="2"/>
        <v>0</v>
      </c>
      <c r="W50" s="81">
        <f t="shared" si="2"/>
        <v>0</v>
      </c>
      <c r="X50" s="81">
        <f t="shared" si="2"/>
        <v>0</v>
      </c>
      <c r="Y50" s="81">
        <f>Y10+Y143-Y144-Y51</f>
        <v>0</v>
      </c>
      <c r="Z50" s="81">
        <f t="shared" si="2"/>
        <v>0</v>
      </c>
      <c r="AA50" s="82" t="s">
        <v>714</v>
      </c>
    </row>
    <row r="51" spans="1:27">
      <c r="A51" s="67" t="s">
        <v>339</v>
      </c>
      <c r="B51" s="67">
        <v>200</v>
      </c>
      <c r="C51" s="67" t="s">
        <v>340</v>
      </c>
      <c r="D51" s="68">
        <f>E51+K51+S51+T51</f>
        <v>35090200</v>
      </c>
      <c r="E51" s="68">
        <f>SUM(F51:J51)</f>
        <v>32680700</v>
      </c>
      <c r="F51" s="68">
        <f>F53+F68+F78+F90+F92+F94</f>
        <v>0</v>
      </c>
      <c r="G51" s="68">
        <f>G53+G68+G78+G90+G92+G94</f>
        <v>0</v>
      </c>
      <c r="H51" s="68">
        <f>H53+H68+H78+H90+H92+H94</f>
        <v>32491300</v>
      </c>
      <c r="I51" s="68">
        <f>I53+I68+I78+I90+I92+I94</f>
        <v>0</v>
      </c>
      <c r="J51" s="68">
        <f>J53+J68+J78+J90+J92+J94</f>
        <v>189400</v>
      </c>
      <c r="K51" s="68">
        <f>SUM(L51:R51)</f>
        <v>2374500</v>
      </c>
      <c r="L51" s="68">
        <f t="shared" ref="L51:S51" si="4">L53+L68+L78+L90+L92+L94</f>
        <v>562400</v>
      </c>
      <c r="M51" s="68">
        <f t="shared" si="4"/>
        <v>1300</v>
      </c>
      <c r="N51" s="68">
        <f t="shared" si="4"/>
        <v>0</v>
      </c>
      <c r="O51" s="68">
        <f t="shared" si="4"/>
        <v>0</v>
      </c>
      <c r="P51" s="68">
        <f t="shared" si="4"/>
        <v>0</v>
      </c>
      <c r="Q51" s="68">
        <f t="shared" si="4"/>
        <v>1810800</v>
      </c>
      <c r="R51" s="68">
        <f t="shared" si="4"/>
        <v>0</v>
      </c>
      <c r="S51" s="68">
        <f t="shared" si="4"/>
        <v>0</v>
      </c>
      <c r="T51" s="68">
        <f>SUM(U51:Z51)</f>
        <v>35000</v>
      </c>
      <c r="U51" s="68">
        <f t="shared" ref="U51:Z51" si="5">U53+U68+U78+U90+U92+U94</f>
        <v>0</v>
      </c>
      <c r="V51" s="68">
        <f t="shared" si="5"/>
        <v>0</v>
      </c>
      <c r="W51" s="68">
        <f t="shared" si="5"/>
        <v>0</v>
      </c>
      <c r="X51" s="68">
        <f t="shared" si="5"/>
        <v>0</v>
      </c>
      <c r="Y51" s="68">
        <f t="shared" si="5"/>
        <v>35000</v>
      </c>
      <c r="Z51" s="68">
        <f t="shared" si="5"/>
        <v>0</v>
      </c>
    </row>
    <row r="52" spans="1:27">
      <c r="A52" s="67" t="s">
        <v>341</v>
      </c>
      <c r="B52" s="67"/>
      <c r="C52" s="67"/>
      <c r="D52" s="68"/>
      <c r="E52" s="68"/>
      <c r="F52" s="69"/>
      <c r="G52" s="69"/>
      <c r="H52" s="69"/>
      <c r="I52" s="69"/>
      <c r="J52" s="69"/>
      <c r="K52" s="68"/>
      <c r="L52" s="69"/>
      <c r="M52" s="69"/>
      <c r="N52" s="69"/>
      <c r="O52" s="69"/>
      <c r="P52" s="69"/>
      <c r="Q52" s="69"/>
      <c r="R52" s="69"/>
      <c r="S52" s="69"/>
      <c r="T52" s="68"/>
      <c r="U52" s="69"/>
      <c r="V52" s="69"/>
      <c r="W52" s="69"/>
      <c r="X52" s="69"/>
      <c r="Y52" s="69"/>
      <c r="Z52" s="69"/>
    </row>
    <row r="53" spans="1:27" ht="39">
      <c r="A53" s="67" t="s">
        <v>678</v>
      </c>
      <c r="B53" s="67">
        <v>210</v>
      </c>
      <c r="C53" s="67">
        <v>100</v>
      </c>
      <c r="D53" s="68">
        <f>E53+K53+S53+T53</f>
        <v>32904800</v>
      </c>
      <c r="E53" s="68">
        <f>SUM(F53:J53)</f>
        <v>31283600</v>
      </c>
      <c r="F53" s="68">
        <f>F55</f>
        <v>0</v>
      </c>
      <c r="G53" s="68">
        <f>G55</f>
        <v>0</v>
      </c>
      <c r="H53" s="68">
        <f>H55</f>
        <v>31283600</v>
      </c>
      <c r="I53" s="68">
        <f>I55</f>
        <v>0</v>
      </c>
      <c r="J53" s="68">
        <f>J55</f>
        <v>0</v>
      </c>
      <c r="K53" s="68">
        <f>SUM(L53:R53)</f>
        <v>1621200</v>
      </c>
      <c r="L53" s="68">
        <f t="shared" ref="L53:S53" si="6">L55</f>
        <v>562400</v>
      </c>
      <c r="M53" s="68">
        <f t="shared" si="6"/>
        <v>0</v>
      </c>
      <c r="N53" s="68">
        <f t="shared" si="6"/>
        <v>0</v>
      </c>
      <c r="O53" s="68">
        <f t="shared" si="6"/>
        <v>0</v>
      </c>
      <c r="P53" s="68">
        <f t="shared" si="6"/>
        <v>0</v>
      </c>
      <c r="Q53" s="68">
        <f t="shared" si="6"/>
        <v>1058800</v>
      </c>
      <c r="R53" s="68">
        <f t="shared" si="6"/>
        <v>0</v>
      </c>
      <c r="S53" s="68">
        <f t="shared" si="6"/>
        <v>0</v>
      </c>
      <c r="T53" s="68">
        <f>SUM(U53:Z53)</f>
        <v>0</v>
      </c>
      <c r="U53" s="68">
        <f t="shared" ref="U53:Z53" si="7">U55</f>
        <v>0</v>
      </c>
      <c r="V53" s="68">
        <f t="shared" si="7"/>
        <v>0</v>
      </c>
      <c r="W53" s="68">
        <f t="shared" si="7"/>
        <v>0</v>
      </c>
      <c r="X53" s="68">
        <f t="shared" si="7"/>
        <v>0</v>
      </c>
      <c r="Y53" s="68">
        <f t="shared" si="7"/>
        <v>0</v>
      </c>
      <c r="Z53" s="68">
        <f t="shared" si="7"/>
        <v>0</v>
      </c>
    </row>
    <row r="54" spans="1:27">
      <c r="A54" s="67" t="s">
        <v>225</v>
      </c>
      <c r="B54" s="67"/>
      <c r="C54" s="67"/>
      <c r="D54" s="68"/>
      <c r="E54" s="68"/>
      <c r="F54" s="69"/>
      <c r="G54" s="69"/>
      <c r="H54" s="69"/>
      <c r="I54" s="69"/>
      <c r="J54" s="69"/>
      <c r="K54" s="68"/>
      <c r="L54" s="69"/>
      <c r="M54" s="69"/>
      <c r="N54" s="69"/>
      <c r="O54" s="69"/>
      <c r="P54" s="69"/>
      <c r="Q54" s="69"/>
      <c r="R54" s="69"/>
      <c r="S54" s="69"/>
      <c r="T54" s="68"/>
      <c r="U54" s="69"/>
      <c r="V54" s="69"/>
      <c r="W54" s="69"/>
      <c r="X54" s="69"/>
      <c r="Y54" s="69"/>
      <c r="Z54" s="69"/>
    </row>
    <row r="55" spans="1:27">
      <c r="A55" s="67" t="s">
        <v>342</v>
      </c>
      <c r="B55" s="67">
        <v>211</v>
      </c>
      <c r="C55" s="67">
        <v>110</v>
      </c>
      <c r="D55" s="68">
        <f>E55+K55+S55+T55</f>
        <v>32904800</v>
      </c>
      <c r="E55" s="68">
        <f>SUM(F55:J55)</f>
        <v>31283600</v>
      </c>
      <c r="F55" s="68">
        <f>SUM(F57:F67)</f>
        <v>0</v>
      </c>
      <c r="G55" s="68">
        <f>SUM(G57:G67)</f>
        <v>0</v>
      </c>
      <c r="H55" s="68">
        <f>SUM(H57:H67)</f>
        <v>31283600</v>
      </c>
      <c r="I55" s="68">
        <f>SUM(I57:I67)</f>
        <v>0</v>
      </c>
      <c r="J55" s="68">
        <f>SUM(J57:J67)</f>
        <v>0</v>
      </c>
      <c r="K55" s="68">
        <f>SUM(L55:R55)</f>
        <v>1621200</v>
      </c>
      <c r="L55" s="68">
        <f t="shared" ref="L55:S55" si="8">SUM(L57:L67)</f>
        <v>562400</v>
      </c>
      <c r="M55" s="68">
        <f t="shared" si="8"/>
        <v>0</v>
      </c>
      <c r="N55" s="68">
        <f t="shared" si="8"/>
        <v>0</v>
      </c>
      <c r="O55" s="68">
        <f t="shared" si="8"/>
        <v>0</v>
      </c>
      <c r="P55" s="68">
        <f t="shared" si="8"/>
        <v>0</v>
      </c>
      <c r="Q55" s="68">
        <f t="shared" si="8"/>
        <v>1058800</v>
      </c>
      <c r="R55" s="68">
        <f t="shared" si="8"/>
        <v>0</v>
      </c>
      <c r="S55" s="68">
        <f t="shared" si="8"/>
        <v>0</v>
      </c>
      <c r="T55" s="68">
        <f>SUM(U55:Z55)</f>
        <v>0</v>
      </c>
      <c r="U55" s="68">
        <f t="shared" ref="U55:Z55" si="9">SUM(U57:U67)</f>
        <v>0</v>
      </c>
      <c r="V55" s="68">
        <f t="shared" si="9"/>
        <v>0</v>
      </c>
      <c r="W55" s="68">
        <f t="shared" si="9"/>
        <v>0</v>
      </c>
      <c r="X55" s="68">
        <f t="shared" si="9"/>
        <v>0</v>
      </c>
      <c r="Y55" s="68">
        <f t="shared" si="9"/>
        <v>0</v>
      </c>
      <c r="Z55" s="68">
        <f t="shared" si="9"/>
        <v>0</v>
      </c>
    </row>
    <row r="56" spans="1:27">
      <c r="A56" s="67" t="s">
        <v>225</v>
      </c>
      <c r="B56" s="67"/>
      <c r="C56" s="67"/>
      <c r="D56" s="68"/>
      <c r="E56" s="68"/>
      <c r="F56" s="69"/>
      <c r="G56" s="69"/>
      <c r="H56" s="69"/>
      <c r="I56" s="69"/>
      <c r="J56" s="69"/>
      <c r="K56" s="68"/>
      <c r="L56" s="69"/>
      <c r="M56" s="69"/>
      <c r="N56" s="69"/>
      <c r="O56" s="69"/>
      <c r="P56" s="69"/>
      <c r="Q56" s="69"/>
      <c r="R56" s="69"/>
      <c r="S56" s="69"/>
      <c r="T56" s="68"/>
      <c r="U56" s="69"/>
      <c r="V56" s="69"/>
      <c r="W56" s="69"/>
      <c r="X56" s="69"/>
      <c r="Y56" s="69"/>
      <c r="Z56" s="69"/>
    </row>
    <row r="57" spans="1:27" ht="26">
      <c r="A57" s="67" t="s">
        <v>343</v>
      </c>
      <c r="B57" s="67">
        <v>211.1</v>
      </c>
      <c r="C57" s="67" t="s">
        <v>621</v>
      </c>
      <c r="D57" s="68">
        <f t="shared" ref="D57:D68" si="10">E57+K57+S57+T57</f>
        <v>24027300</v>
      </c>
      <c r="E57" s="68">
        <f>SUM(F57:J57)</f>
        <v>24027300</v>
      </c>
      <c r="F57" s="69"/>
      <c r="G57" s="69"/>
      <c r="H57" s="69">
        <v>24027300</v>
      </c>
      <c r="I57" s="69"/>
      <c r="J57" s="69"/>
      <c r="K57" s="68">
        <f>SUM(L57:R57)</f>
        <v>0</v>
      </c>
      <c r="L57" s="69"/>
      <c r="M57" s="69"/>
      <c r="N57" s="69"/>
      <c r="O57" s="69"/>
      <c r="P57" s="69"/>
      <c r="Q57" s="69"/>
      <c r="R57" s="69"/>
      <c r="S57" s="69"/>
      <c r="T57" s="68">
        <f t="shared" ref="T57:T66" si="11">SUM(U57:Z57)</f>
        <v>0</v>
      </c>
      <c r="U57" s="69"/>
      <c r="V57" s="69"/>
      <c r="W57" s="69"/>
      <c r="X57" s="69"/>
      <c r="Y57" s="69"/>
      <c r="Z57" s="69"/>
    </row>
    <row r="58" spans="1:27" ht="26">
      <c r="A58" s="67" t="s">
        <v>659</v>
      </c>
      <c r="B58" s="67">
        <v>211.2</v>
      </c>
      <c r="C58" s="67" t="s">
        <v>622</v>
      </c>
      <c r="D58" s="68">
        <f t="shared" si="10"/>
        <v>562400</v>
      </c>
      <c r="E58" s="68">
        <f>SUM(F58:J58)</f>
        <v>0</v>
      </c>
      <c r="F58" s="69"/>
      <c r="G58" s="69"/>
      <c r="H58" s="69">
        <v>0</v>
      </c>
      <c r="I58" s="69"/>
      <c r="J58" s="69"/>
      <c r="K58" s="68">
        <f>SUM(L58:R58)</f>
        <v>562400</v>
      </c>
      <c r="L58" s="69">
        <v>562400</v>
      </c>
      <c r="M58" s="69"/>
      <c r="N58" s="69"/>
      <c r="O58" s="69"/>
      <c r="P58" s="69"/>
      <c r="Q58" s="69"/>
      <c r="R58" s="69"/>
      <c r="S58" s="69"/>
      <c r="T58" s="68">
        <f t="shared" si="11"/>
        <v>0</v>
      </c>
      <c r="U58" s="69"/>
      <c r="V58" s="69"/>
      <c r="W58" s="69"/>
      <c r="X58" s="69"/>
      <c r="Y58" s="69"/>
      <c r="Z58" s="69"/>
    </row>
    <row r="59" spans="1:27" ht="26" hidden="1">
      <c r="A59" s="67" t="s">
        <v>344</v>
      </c>
      <c r="B59" s="67">
        <v>211.3</v>
      </c>
      <c r="C59" s="67" t="s">
        <v>345</v>
      </c>
      <c r="D59" s="68">
        <f t="shared" si="10"/>
        <v>0</v>
      </c>
      <c r="E59" s="68">
        <f>SUM(F59:J59)</f>
        <v>0</v>
      </c>
      <c r="F59" s="69"/>
      <c r="G59" s="69"/>
      <c r="H59" s="69"/>
      <c r="I59" s="69"/>
      <c r="J59" s="69"/>
      <c r="K59" s="68">
        <f>SUM(L59:R59)</f>
        <v>0</v>
      </c>
      <c r="L59" s="69"/>
      <c r="M59" s="69"/>
      <c r="N59" s="69"/>
      <c r="O59" s="69"/>
      <c r="P59" s="69"/>
      <c r="Q59" s="69"/>
      <c r="R59" s="69"/>
      <c r="S59" s="69"/>
      <c r="T59" s="68">
        <f t="shared" si="11"/>
        <v>0</v>
      </c>
      <c r="U59" s="69"/>
      <c r="V59" s="69"/>
      <c r="W59" s="69"/>
      <c r="X59" s="69"/>
      <c r="Y59" s="69"/>
      <c r="Z59" s="69"/>
    </row>
    <row r="60" spans="1:27" ht="91" hidden="1">
      <c r="A60" s="67" t="s">
        <v>346</v>
      </c>
      <c r="B60" s="67">
        <v>211.4</v>
      </c>
      <c r="C60" s="67" t="s">
        <v>347</v>
      </c>
      <c r="D60" s="68">
        <f t="shared" si="10"/>
        <v>0</v>
      </c>
      <c r="E60" s="68">
        <f>SUM(F60:J60)</f>
        <v>0</v>
      </c>
      <c r="F60" s="69"/>
      <c r="G60" s="69"/>
      <c r="H60" s="69"/>
      <c r="I60" s="69"/>
      <c r="J60" s="69"/>
      <c r="K60" s="68">
        <f>SUM(L60:R60)</f>
        <v>0</v>
      </c>
      <c r="L60" s="69"/>
      <c r="M60" s="69"/>
      <c r="N60" s="69"/>
      <c r="O60" s="69"/>
      <c r="P60" s="69"/>
      <c r="Q60" s="69"/>
      <c r="R60" s="69"/>
      <c r="S60" s="69"/>
      <c r="T60" s="68">
        <f t="shared" si="11"/>
        <v>0</v>
      </c>
      <c r="U60" s="69"/>
      <c r="V60" s="69"/>
      <c r="W60" s="69"/>
      <c r="X60" s="69"/>
      <c r="Y60" s="69"/>
      <c r="Z60" s="69"/>
    </row>
    <row r="61" spans="1:27" ht="27.75" customHeight="1">
      <c r="A61" s="67" t="s">
        <v>348</v>
      </c>
      <c r="B61" s="67">
        <v>211.5</v>
      </c>
      <c r="C61" s="67" t="s">
        <v>623</v>
      </c>
      <c r="D61" s="68">
        <f t="shared" si="10"/>
        <v>93700</v>
      </c>
      <c r="E61" s="68">
        <f t="shared" ref="E61:E70" si="12">SUM(F61:J61)</f>
        <v>0</v>
      </c>
      <c r="F61" s="69"/>
      <c r="G61" s="69"/>
      <c r="H61" s="69"/>
      <c r="I61" s="69"/>
      <c r="J61" s="69"/>
      <c r="K61" s="68">
        <f t="shared" ref="K61:K70" si="13">SUM(L61:R61)</f>
        <v>93700</v>
      </c>
      <c r="L61" s="69"/>
      <c r="M61" s="69"/>
      <c r="N61" s="69"/>
      <c r="O61" s="69"/>
      <c r="P61" s="69"/>
      <c r="Q61" s="69">
        <v>93700</v>
      </c>
      <c r="R61" s="69"/>
      <c r="S61" s="69"/>
      <c r="T61" s="68">
        <f t="shared" si="11"/>
        <v>0</v>
      </c>
      <c r="U61" s="69"/>
      <c r="V61" s="69"/>
      <c r="W61" s="69"/>
      <c r="X61" s="69"/>
      <c r="Y61" s="69"/>
      <c r="Z61" s="69"/>
    </row>
    <row r="62" spans="1:27" ht="26" hidden="1">
      <c r="A62" s="67" t="s">
        <v>349</v>
      </c>
      <c r="B62" s="67">
        <v>211.6</v>
      </c>
      <c r="C62" s="67" t="s">
        <v>350</v>
      </c>
      <c r="D62" s="68">
        <f t="shared" si="10"/>
        <v>0</v>
      </c>
      <c r="E62" s="68">
        <f t="shared" si="12"/>
        <v>0</v>
      </c>
      <c r="F62" s="69"/>
      <c r="G62" s="69"/>
      <c r="H62" s="69"/>
      <c r="I62" s="69"/>
      <c r="J62" s="69"/>
      <c r="K62" s="68">
        <f t="shared" si="13"/>
        <v>0</v>
      </c>
      <c r="L62" s="69"/>
      <c r="M62" s="69"/>
      <c r="N62" s="69"/>
      <c r="O62" s="69"/>
      <c r="P62" s="69"/>
      <c r="Q62" s="69"/>
      <c r="R62" s="69"/>
      <c r="S62" s="69"/>
      <c r="T62" s="68">
        <f t="shared" si="11"/>
        <v>0</v>
      </c>
      <c r="U62" s="69"/>
      <c r="V62" s="69"/>
      <c r="W62" s="69"/>
      <c r="X62" s="69"/>
      <c r="Y62" s="69"/>
      <c r="Z62" s="69"/>
    </row>
    <row r="63" spans="1:27" ht="27" customHeight="1">
      <c r="A63" s="67" t="s">
        <v>351</v>
      </c>
      <c r="B63" s="67">
        <v>211.7</v>
      </c>
      <c r="C63" s="67" t="s">
        <v>624</v>
      </c>
      <c r="D63" s="68">
        <f t="shared" si="10"/>
        <v>67000</v>
      </c>
      <c r="E63" s="68">
        <f t="shared" si="12"/>
        <v>0</v>
      </c>
      <c r="F63" s="69"/>
      <c r="G63" s="69"/>
      <c r="H63" s="69"/>
      <c r="I63" s="69"/>
      <c r="J63" s="69"/>
      <c r="K63" s="68">
        <f t="shared" si="13"/>
        <v>67000</v>
      </c>
      <c r="L63" s="69"/>
      <c r="M63" s="69"/>
      <c r="N63" s="69"/>
      <c r="O63" s="69"/>
      <c r="P63" s="69"/>
      <c r="Q63" s="69">
        <v>67000</v>
      </c>
      <c r="R63" s="69"/>
      <c r="S63" s="69"/>
      <c r="T63" s="68">
        <f t="shared" si="11"/>
        <v>0</v>
      </c>
      <c r="U63" s="69"/>
      <c r="V63" s="69"/>
      <c r="W63" s="69"/>
      <c r="X63" s="69"/>
      <c r="Y63" s="69"/>
      <c r="Z63" s="69"/>
    </row>
    <row r="64" spans="1:27" ht="26" hidden="1">
      <c r="A64" s="67" t="s">
        <v>352</v>
      </c>
      <c r="B64" s="67">
        <v>211.8</v>
      </c>
      <c r="C64" s="67" t="s">
        <v>625</v>
      </c>
      <c r="D64" s="68">
        <f t="shared" si="10"/>
        <v>0</v>
      </c>
      <c r="E64" s="68">
        <f t="shared" si="12"/>
        <v>0</v>
      </c>
      <c r="F64" s="69"/>
      <c r="G64" s="69"/>
      <c r="H64" s="69"/>
      <c r="I64" s="69"/>
      <c r="J64" s="69"/>
      <c r="K64" s="68">
        <f t="shared" si="13"/>
        <v>0</v>
      </c>
      <c r="L64" s="69"/>
      <c r="M64" s="69"/>
      <c r="N64" s="69"/>
      <c r="O64" s="69"/>
      <c r="P64" s="69"/>
      <c r="Q64" s="69"/>
      <c r="R64" s="69"/>
      <c r="S64" s="69"/>
      <c r="T64" s="68">
        <f t="shared" si="11"/>
        <v>0</v>
      </c>
      <c r="U64" s="69"/>
      <c r="V64" s="69"/>
      <c r="W64" s="69"/>
      <c r="X64" s="69"/>
      <c r="Y64" s="69"/>
      <c r="Z64" s="69"/>
    </row>
    <row r="65" spans="1:26" ht="91" hidden="1">
      <c r="A65" s="67" t="s">
        <v>353</v>
      </c>
      <c r="B65" s="67">
        <v>211.9</v>
      </c>
      <c r="C65" s="67" t="s">
        <v>354</v>
      </c>
      <c r="D65" s="68">
        <f t="shared" si="10"/>
        <v>0</v>
      </c>
      <c r="E65" s="68">
        <f t="shared" si="12"/>
        <v>0</v>
      </c>
      <c r="F65" s="69"/>
      <c r="G65" s="69"/>
      <c r="H65" s="69"/>
      <c r="I65" s="69"/>
      <c r="J65" s="69"/>
      <c r="K65" s="68">
        <f t="shared" si="13"/>
        <v>0</v>
      </c>
      <c r="L65" s="69"/>
      <c r="M65" s="69"/>
      <c r="N65" s="69"/>
      <c r="O65" s="69"/>
      <c r="P65" s="69"/>
      <c r="Q65" s="69"/>
      <c r="R65" s="69"/>
      <c r="S65" s="69"/>
      <c r="T65" s="68">
        <f t="shared" si="11"/>
        <v>0</v>
      </c>
      <c r="U65" s="69"/>
      <c r="V65" s="69"/>
      <c r="W65" s="69"/>
      <c r="X65" s="69"/>
      <c r="Y65" s="69"/>
      <c r="Z65" s="69"/>
    </row>
    <row r="66" spans="1:26" ht="78">
      <c r="A66" s="67" t="s">
        <v>355</v>
      </c>
      <c r="B66" s="67">
        <v>211.1</v>
      </c>
      <c r="C66" s="67" t="s">
        <v>356</v>
      </c>
      <c r="D66" s="68">
        <f t="shared" si="10"/>
        <v>898100</v>
      </c>
      <c r="E66" s="68">
        <f t="shared" si="12"/>
        <v>0</v>
      </c>
      <c r="F66" s="69"/>
      <c r="G66" s="69"/>
      <c r="H66" s="69"/>
      <c r="I66" s="69"/>
      <c r="J66" s="69"/>
      <c r="K66" s="68">
        <f t="shared" si="13"/>
        <v>898100</v>
      </c>
      <c r="L66" s="69"/>
      <c r="M66" s="69"/>
      <c r="N66" s="69"/>
      <c r="O66" s="69"/>
      <c r="P66" s="69"/>
      <c r="Q66" s="69">
        <v>898100</v>
      </c>
      <c r="R66" s="69"/>
      <c r="S66" s="69"/>
      <c r="T66" s="68">
        <f t="shared" si="11"/>
        <v>0</v>
      </c>
      <c r="U66" s="69"/>
      <c r="V66" s="69"/>
      <c r="W66" s="69"/>
      <c r="X66" s="69"/>
      <c r="Y66" s="69"/>
      <c r="Z66" s="69"/>
    </row>
    <row r="67" spans="1:26" ht="24.75" customHeight="1">
      <c r="A67" s="67" t="s">
        <v>357</v>
      </c>
      <c r="B67" s="67">
        <v>211.11</v>
      </c>
      <c r="C67" s="67" t="s">
        <v>626</v>
      </c>
      <c r="D67" s="68">
        <f t="shared" si="10"/>
        <v>7256300</v>
      </c>
      <c r="E67" s="68">
        <f t="shared" si="12"/>
        <v>7256300</v>
      </c>
      <c r="F67" s="69"/>
      <c r="G67" s="69"/>
      <c r="H67" s="69">
        <v>7256300</v>
      </c>
      <c r="I67" s="69"/>
      <c r="J67" s="69"/>
      <c r="K67" s="68">
        <f t="shared" si="13"/>
        <v>0</v>
      </c>
      <c r="L67" s="69"/>
      <c r="M67" s="69"/>
      <c r="N67" s="69"/>
      <c r="O67" s="69"/>
      <c r="P67" s="69"/>
      <c r="Q67" s="69"/>
      <c r="R67" s="69"/>
      <c r="S67" s="69"/>
      <c r="T67" s="68">
        <f>SUM(U67:Z67)</f>
        <v>0</v>
      </c>
      <c r="U67" s="69"/>
      <c r="V67" s="69"/>
      <c r="W67" s="69"/>
      <c r="X67" s="69"/>
      <c r="Y67" s="69"/>
      <c r="Z67" s="69"/>
    </row>
    <row r="68" spans="1:26" ht="26" hidden="1">
      <c r="A68" s="67" t="s">
        <v>358</v>
      </c>
      <c r="B68" s="67">
        <v>220</v>
      </c>
      <c r="C68" s="67">
        <v>300</v>
      </c>
      <c r="D68" s="68">
        <f t="shared" si="10"/>
        <v>0</v>
      </c>
      <c r="E68" s="68">
        <f t="shared" si="12"/>
        <v>0</v>
      </c>
      <c r="F68" s="68">
        <f>F70</f>
        <v>0</v>
      </c>
      <c r="G68" s="68">
        <f t="shared" ref="G68:Z68" si="14">G70</f>
        <v>0</v>
      </c>
      <c r="H68" s="68">
        <f t="shared" si="14"/>
        <v>0</v>
      </c>
      <c r="I68" s="68">
        <f t="shared" si="14"/>
        <v>0</v>
      </c>
      <c r="J68" s="68">
        <f t="shared" si="14"/>
        <v>0</v>
      </c>
      <c r="K68" s="68">
        <f t="shared" si="13"/>
        <v>0</v>
      </c>
      <c r="L68" s="68">
        <f t="shared" si="14"/>
        <v>0</v>
      </c>
      <c r="M68" s="68">
        <f t="shared" si="14"/>
        <v>0</v>
      </c>
      <c r="N68" s="68">
        <f t="shared" si="14"/>
        <v>0</v>
      </c>
      <c r="O68" s="68">
        <f t="shared" si="14"/>
        <v>0</v>
      </c>
      <c r="P68" s="68">
        <f t="shared" si="14"/>
        <v>0</v>
      </c>
      <c r="Q68" s="68">
        <f t="shared" si="14"/>
        <v>0</v>
      </c>
      <c r="R68" s="68">
        <f t="shared" si="14"/>
        <v>0</v>
      </c>
      <c r="S68" s="68">
        <f t="shared" si="14"/>
        <v>0</v>
      </c>
      <c r="T68" s="68">
        <f>SUM(U68:Z68)</f>
        <v>0</v>
      </c>
      <c r="U68" s="68">
        <f t="shared" si="14"/>
        <v>0</v>
      </c>
      <c r="V68" s="68">
        <f t="shared" si="14"/>
        <v>0</v>
      </c>
      <c r="W68" s="68">
        <f t="shared" si="14"/>
        <v>0</v>
      </c>
      <c r="X68" s="68">
        <f t="shared" si="14"/>
        <v>0</v>
      </c>
      <c r="Y68" s="68">
        <f t="shared" si="14"/>
        <v>0</v>
      </c>
      <c r="Z68" s="68">
        <f t="shared" si="14"/>
        <v>0</v>
      </c>
    </row>
    <row r="69" spans="1:26" hidden="1">
      <c r="A69" s="67" t="s">
        <v>227</v>
      </c>
      <c r="B69" s="67"/>
      <c r="C69" s="67"/>
      <c r="D69" s="68"/>
      <c r="E69" s="68"/>
      <c r="F69" s="69"/>
      <c r="G69" s="69"/>
      <c r="H69" s="69"/>
      <c r="I69" s="69"/>
      <c r="J69" s="69"/>
      <c r="K69" s="68"/>
      <c r="L69" s="69"/>
      <c r="M69" s="69"/>
      <c r="N69" s="69"/>
      <c r="O69" s="69"/>
      <c r="P69" s="69"/>
      <c r="Q69" s="69"/>
      <c r="R69" s="69"/>
      <c r="S69" s="69"/>
      <c r="T69" s="68"/>
      <c r="U69" s="69"/>
      <c r="V69" s="69"/>
      <c r="W69" s="69"/>
      <c r="X69" s="69"/>
      <c r="Y69" s="69"/>
      <c r="Z69" s="69"/>
    </row>
    <row r="70" spans="1:26" ht="39" hidden="1">
      <c r="A70" s="67" t="s">
        <v>359</v>
      </c>
      <c r="B70" s="67">
        <v>221</v>
      </c>
      <c r="C70" s="67">
        <v>320</v>
      </c>
      <c r="D70" s="68">
        <f>E70+K70+S70+T70</f>
        <v>0</v>
      </c>
      <c r="E70" s="68">
        <f t="shared" si="12"/>
        <v>0</v>
      </c>
      <c r="F70" s="68">
        <f>SUM(F72:F77)</f>
        <v>0</v>
      </c>
      <c r="G70" s="68">
        <f>SUM(G72:G77)</f>
        <v>0</v>
      </c>
      <c r="H70" s="68">
        <f>SUM(H72:H77)</f>
        <v>0</v>
      </c>
      <c r="I70" s="68">
        <f>SUM(I72:I77)</f>
        <v>0</v>
      </c>
      <c r="J70" s="68">
        <f>SUM(J72:J77)</f>
        <v>0</v>
      </c>
      <c r="K70" s="68">
        <f t="shared" si="13"/>
        <v>0</v>
      </c>
      <c r="L70" s="68">
        <f t="shared" ref="L70:S70" si="15">SUM(L72:L77)</f>
        <v>0</v>
      </c>
      <c r="M70" s="68">
        <f t="shared" si="15"/>
        <v>0</v>
      </c>
      <c r="N70" s="68">
        <f t="shared" si="15"/>
        <v>0</v>
      </c>
      <c r="O70" s="68">
        <f t="shared" si="15"/>
        <v>0</v>
      </c>
      <c r="P70" s="68">
        <f t="shared" si="15"/>
        <v>0</v>
      </c>
      <c r="Q70" s="68">
        <f>SUM(Q72:Q77)</f>
        <v>0</v>
      </c>
      <c r="R70" s="68">
        <f t="shared" si="15"/>
        <v>0</v>
      </c>
      <c r="S70" s="68">
        <f t="shared" si="15"/>
        <v>0</v>
      </c>
      <c r="T70" s="68">
        <f>SUM(U70:Z70)</f>
        <v>0</v>
      </c>
      <c r="U70" s="68">
        <f t="shared" ref="U70:Z70" si="16">SUM(U72:U77)</f>
        <v>0</v>
      </c>
      <c r="V70" s="68">
        <f t="shared" si="16"/>
        <v>0</v>
      </c>
      <c r="W70" s="68">
        <f t="shared" si="16"/>
        <v>0</v>
      </c>
      <c r="X70" s="68">
        <f t="shared" si="16"/>
        <v>0</v>
      </c>
      <c r="Y70" s="68">
        <f t="shared" si="16"/>
        <v>0</v>
      </c>
      <c r="Z70" s="68">
        <f t="shared" si="16"/>
        <v>0</v>
      </c>
    </row>
    <row r="71" spans="1:26" hidden="1">
      <c r="A71" s="67" t="s">
        <v>225</v>
      </c>
      <c r="B71" s="79"/>
      <c r="C71" s="79"/>
      <c r="D71" s="68"/>
      <c r="E71" s="68"/>
      <c r="F71" s="69"/>
      <c r="G71" s="69"/>
      <c r="H71" s="69"/>
      <c r="I71" s="69"/>
      <c r="J71" s="69"/>
      <c r="K71" s="68"/>
      <c r="L71" s="69"/>
      <c r="M71" s="69"/>
      <c r="N71" s="69"/>
      <c r="O71" s="69"/>
      <c r="P71" s="69"/>
      <c r="Q71" s="69"/>
      <c r="R71" s="69"/>
      <c r="S71" s="69"/>
      <c r="T71" s="68"/>
      <c r="U71" s="69"/>
      <c r="V71" s="69"/>
      <c r="W71" s="69"/>
      <c r="X71" s="69"/>
      <c r="Y71" s="69"/>
      <c r="Z71" s="69"/>
    </row>
    <row r="72" spans="1:26" ht="26" hidden="1">
      <c r="A72" s="67" t="s">
        <v>360</v>
      </c>
      <c r="B72" s="67">
        <v>221.1</v>
      </c>
      <c r="C72" s="67" t="s">
        <v>361</v>
      </c>
      <c r="D72" s="68">
        <f t="shared" ref="D72:D78" si="17">E72+K72+S72+T72</f>
        <v>0</v>
      </c>
      <c r="E72" s="68">
        <f t="shared" ref="E72:E78" si="18">SUM(F72:J72)</f>
        <v>0</v>
      </c>
      <c r="F72" s="69"/>
      <c r="G72" s="69"/>
      <c r="H72" s="69"/>
      <c r="I72" s="69"/>
      <c r="J72" s="69"/>
      <c r="K72" s="68">
        <f t="shared" ref="K72:K78" si="19">SUM(L72:R72)</f>
        <v>0</v>
      </c>
      <c r="L72" s="69"/>
      <c r="M72" s="69"/>
      <c r="N72" s="69"/>
      <c r="O72" s="69"/>
      <c r="P72" s="69"/>
      <c r="Q72" s="69"/>
      <c r="R72" s="69"/>
      <c r="S72" s="69"/>
      <c r="T72" s="68">
        <f t="shared" ref="T72:T78" si="20">SUM(U72:Z72)</f>
        <v>0</v>
      </c>
      <c r="U72" s="69"/>
      <c r="V72" s="69"/>
      <c r="W72" s="69"/>
      <c r="X72" s="69"/>
      <c r="Y72" s="69"/>
      <c r="Z72" s="69"/>
    </row>
    <row r="73" spans="1:26" ht="26" hidden="1">
      <c r="A73" s="67" t="s">
        <v>660</v>
      </c>
      <c r="B73" s="67">
        <v>221.2</v>
      </c>
      <c r="C73" s="67" t="s">
        <v>362</v>
      </c>
      <c r="D73" s="68">
        <f t="shared" si="17"/>
        <v>0</v>
      </c>
      <c r="E73" s="68">
        <f t="shared" si="18"/>
        <v>0</v>
      </c>
      <c r="F73" s="69"/>
      <c r="G73" s="69"/>
      <c r="H73" s="69"/>
      <c r="I73" s="69"/>
      <c r="J73" s="69"/>
      <c r="K73" s="68">
        <f t="shared" si="19"/>
        <v>0</v>
      </c>
      <c r="L73" s="69"/>
      <c r="M73" s="69"/>
      <c r="N73" s="69"/>
      <c r="O73" s="69"/>
      <c r="P73" s="69"/>
      <c r="Q73" s="69"/>
      <c r="R73" s="69"/>
      <c r="S73" s="69"/>
      <c r="T73" s="68">
        <f t="shared" si="20"/>
        <v>0</v>
      </c>
      <c r="U73" s="69"/>
      <c r="V73" s="69"/>
      <c r="W73" s="69"/>
      <c r="X73" s="69"/>
      <c r="Y73" s="69"/>
      <c r="Z73" s="69"/>
    </row>
    <row r="74" spans="1:26" ht="52" hidden="1">
      <c r="A74" s="67" t="s">
        <v>363</v>
      </c>
      <c r="B74" s="67">
        <v>221.3</v>
      </c>
      <c r="C74" s="67" t="s">
        <v>364</v>
      </c>
      <c r="D74" s="68">
        <f t="shared" si="17"/>
        <v>0</v>
      </c>
      <c r="E74" s="68">
        <f t="shared" si="18"/>
        <v>0</v>
      </c>
      <c r="F74" s="69"/>
      <c r="G74" s="69"/>
      <c r="H74" s="69"/>
      <c r="I74" s="69"/>
      <c r="J74" s="69"/>
      <c r="K74" s="68">
        <f t="shared" si="19"/>
        <v>0</v>
      </c>
      <c r="L74" s="69"/>
      <c r="M74" s="69"/>
      <c r="N74" s="69"/>
      <c r="O74" s="69"/>
      <c r="P74" s="69"/>
      <c r="Q74" s="69"/>
      <c r="R74" s="69"/>
      <c r="S74" s="69"/>
      <c r="T74" s="68">
        <f t="shared" si="20"/>
        <v>0</v>
      </c>
      <c r="U74" s="69"/>
      <c r="V74" s="69"/>
      <c r="W74" s="69"/>
      <c r="X74" s="69"/>
      <c r="Y74" s="69"/>
      <c r="Z74" s="69"/>
    </row>
    <row r="75" spans="1:26" ht="26" hidden="1">
      <c r="A75" s="67" t="s">
        <v>365</v>
      </c>
      <c r="B75" s="67">
        <v>222</v>
      </c>
      <c r="C75" s="67" t="s">
        <v>366</v>
      </c>
      <c r="D75" s="68">
        <f t="shared" si="17"/>
        <v>0</v>
      </c>
      <c r="E75" s="68">
        <f t="shared" si="18"/>
        <v>0</v>
      </c>
      <c r="F75" s="69"/>
      <c r="G75" s="69"/>
      <c r="H75" s="69"/>
      <c r="I75" s="69"/>
      <c r="J75" s="69"/>
      <c r="K75" s="68">
        <f t="shared" si="19"/>
        <v>0</v>
      </c>
      <c r="L75" s="69"/>
      <c r="M75" s="69"/>
      <c r="N75" s="69"/>
      <c r="O75" s="69"/>
      <c r="P75" s="69"/>
      <c r="Q75" s="69"/>
      <c r="R75" s="69"/>
      <c r="S75" s="69"/>
      <c r="T75" s="68">
        <f t="shared" si="20"/>
        <v>0</v>
      </c>
      <c r="U75" s="69"/>
      <c r="V75" s="69"/>
      <c r="W75" s="69"/>
      <c r="X75" s="69"/>
      <c r="Y75" s="69"/>
      <c r="Z75" s="69"/>
    </row>
    <row r="76" spans="1:26" ht="26" hidden="1">
      <c r="A76" s="67" t="s">
        <v>367</v>
      </c>
      <c r="B76" s="67">
        <v>223</v>
      </c>
      <c r="C76" s="67" t="s">
        <v>368</v>
      </c>
      <c r="D76" s="68">
        <f t="shared" si="17"/>
        <v>0</v>
      </c>
      <c r="E76" s="68">
        <f t="shared" si="18"/>
        <v>0</v>
      </c>
      <c r="F76" s="69"/>
      <c r="G76" s="69"/>
      <c r="H76" s="69"/>
      <c r="I76" s="69"/>
      <c r="J76" s="69"/>
      <c r="K76" s="68">
        <f t="shared" si="19"/>
        <v>0</v>
      </c>
      <c r="L76" s="69"/>
      <c r="M76" s="69"/>
      <c r="N76" s="69"/>
      <c r="O76" s="69"/>
      <c r="P76" s="69"/>
      <c r="Q76" s="69"/>
      <c r="R76" s="69"/>
      <c r="S76" s="69"/>
      <c r="T76" s="68">
        <f t="shared" si="20"/>
        <v>0</v>
      </c>
      <c r="U76" s="69"/>
      <c r="V76" s="69"/>
      <c r="W76" s="69"/>
      <c r="X76" s="69"/>
      <c r="Y76" s="69"/>
      <c r="Z76" s="69"/>
    </row>
    <row r="77" spans="1:26" ht="26" hidden="1">
      <c r="A77" s="67" t="s">
        <v>369</v>
      </c>
      <c r="B77" s="67">
        <v>224</v>
      </c>
      <c r="C77" s="67" t="s">
        <v>370</v>
      </c>
      <c r="D77" s="68">
        <f t="shared" si="17"/>
        <v>0</v>
      </c>
      <c r="E77" s="68">
        <f t="shared" si="18"/>
        <v>0</v>
      </c>
      <c r="F77" s="69"/>
      <c r="G77" s="69"/>
      <c r="H77" s="69"/>
      <c r="I77" s="69"/>
      <c r="J77" s="69"/>
      <c r="K77" s="68">
        <f t="shared" si="19"/>
        <v>0</v>
      </c>
      <c r="L77" s="69"/>
      <c r="M77" s="69"/>
      <c r="N77" s="69"/>
      <c r="O77" s="69"/>
      <c r="P77" s="69"/>
      <c r="Q77" s="69"/>
      <c r="R77" s="69"/>
      <c r="S77" s="69"/>
      <c r="T77" s="68">
        <f t="shared" si="20"/>
        <v>0</v>
      </c>
      <c r="U77" s="69"/>
      <c r="V77" s="69"/>
      <c r="W77" s="69"/>
      <c r="X77" s="69"/>
      <c r="Y77" s="69"/>
      <c r="Z77" s="69"/>
    </row>
    <row r="78" spans="1:26" ht="26">
      <c r="A78" s="67" t="s">
        <v>371</v>
      </c>
      <c r="B78" s="67">
        <v>230</v>
      </c>
      <c r="C78" s="67">
        <v>800</v>
      </c>
      <c r="D78" s="68">
        <f t="shared" si="17"/>
        <v>1300</v>
      </c>
      <c r="E78" s="68">
        <f t="shared" si="18"/>
        <v>0</v>
      </c>
      <c r="F78" s="68">
        <f>F80+F83</f>
        <v>0</v>
      </c>
      <c r="G78" s="68">
        <f>G80+G83</f>
        <v>0</v>
      </c>
      <c r="H78" s="68">
        <f>H80+H83</f>
        <v>0</v>
      </c>
      <c r="I78" s="68">
        <f>I80+I83</f>
        <v>0</v>
      </c>
      <c r="J78" s="68">
        <f>J80+J83</f>
        <v>0</v>
      </c>
      <c r="K78" s="68">
        <f t="shared" si="19"/>
        <v>1300</v>
      </c>
      <c r="L78" s="68">
        <f t="shared" ref="L78:S78" si="21">L80+L83</f>
        <v>0</v>
      </c>
      <c r="M78" s="68">
        <f t="shared" si="21"/>
        <v>1300</v>
      </c>
      <c r="N78" s="68">
        <f t="shared" si="21"/>
        <v>0</v>
      </c>
      <c r="O78" s="68">
        <f t="shared" si="21"/>
        <v>0</v>
      </c>
      <c r="P78" s="68">
        <f t="shared" si="21"/>
        <v>0</v>
      </c>
      <c r="Q78" s="68">
        <f t="shared" si="21"/>
        <v>0</v>
      </c>
      <c r="R78" s="68">
        <f t="shared" si="21"/>
        <v>0</v>
      </c>
      <c r="S78" s="68">
        <f t="shared" si="21"/>
        <v>0</v>
      </c>
      <c r="T78" s="68">
        <f t="shared" si="20"/>
        <v>0</v>
      </c>
      <c r="U78" s="68">
        <f t="shared" ref="U78:Z78" si="22">U80+U83</f>
        <v>0</v>
      </c>
      <c r="V78" s="68">
        <f t="shared" si="22"/>
        <v>0</v>
      </c>
      <c r="W78" s="68">
        <f t="shared" si="22"/>
        <v>0</v>
      </c>
      <c r="X78" s="68">
        <f t="shared" si="22"/>
        <v>0</v>
      </c>
      <c r="Y78" s="68">
        <f t="shared" si="22"/>
        <v>0</v>
      </c>
      <c r="Z78" s="68">
        <f t="shared" si="22"/>
        <v>0</v>
      </c>
    </row>
    <row r="79" spans="1:26">
      <c r="A79" s="67" t="s">
        <v>227</v>
      </c>
      <c r="B79" s="79"/>
      <c r="C79" s="79"/>
      <c r="D79" s="68"/>
      <c r="E79" s="68"/>
      <c r="F79" s="69"/>
      <c r="G79" s="69"/>
      <c r="H79" s="69"/>
      <c r="I79" s="69"/>
      <c r="J79" s="69"/>
      <c r="K79" s="68"/>
      <c r="L79" s="69"/>
      <c r="M79" s="69"/>
      <c r="N79" s="69"/>
      <c r="O79" s="69"/>
      <c r="P79" s="69"/>
      <c r="Q79" s="69"/>
      <c r="R79" s="69"/>
      <c r="S79" s="69"/>
      <c r="T79" s="68"/>
      <c r="U79" s="69"/>
      <c r="V79" s="69"/>
      <c r="W79" s="69"/>
      <c r="X79" s="69"/>
      <c r="Y79" s="69"/>
      <c r="Z79" s="69"/>
    </row>
    <row r="80" spans="1:26" ht="26" hidden="1">
      <c r="A80" s="67" t="s">
        <v>372</v>
      </c>
      <c r="B80" s="67">
        <v>231</v>
      </c>
      <c r="C80" s="67">
        <v>830</v>
      </c>
      <c r="D80" s="68">
        <f>E80+K80+S80+T80</f>
        <v>0</v>
      </c>
      <c r="E80" s="68">
        <f>SUM(F80:J80)</f>
        <v>0</v>
      </c>
      <c r="F80" s="68">
        <f>F82</f>
        <v>0</v>
      </c>
      <c r="G80" s="68">
        <f>G82</f>
        <v>0</v>
      </c>
      <c r="H80" s="68">
        <f>H82</f>
        <v>0</v>
      </c>
      <c r="I80" s="68">
        <f>I82</f>
        <v>0</v>
      </c>
      <c r="J80" s="68">
        <f>J82</f>
        <v>0</v>
      </c>
      <c r="K80" s="68">
        <f>SUM(L80:R80)</f>
        <v>0</v>
      </c>
      <c r="L80" s="68">
        <f t="shared" ref="L80:S80" si="23">L82</f>
        <v>0</v>
      </c>
      <c r="M80" s="68">
        <f t="shared" si="23"/>
        <v>0</v>
      </c>
      <c r="N80" s="68">
        <f t="shared" si="23"/>
        <v>0</v>
      </c>
      <c r="O80" s="68">
        <f t="shared" si="23"/>
        <v>0</v>
      </c>
      <c r="P80" s="68">
        <f t="shared" si="23"/>
        <v>0</v>
      </c>
      <c r="Q80" s="68">
        <f t="shared" si="23"/>
        <v>0</v>
      </c>
      <c r="R80" s="68">
        <f t="shared" si="23"/>
        <v>0</v>
      </c>
      <c r="S80" s="68">
        <f t="shared" si="23"/>
        <v>0</v>
      </c>
      <c r="T80" s="68">
        <f>SUM(U80:Z80)</f>
        <v>0</v>
      </c>
      <c r="U80" s="68">
        <f t="shared" ref="U80:Z80" si="24">U82</f>
        <v>0</v>
      </c>
      <c r="V80" s="68">
        <f t="shared" si="24"/>
        <v>0</v>
      </c>
      <c r="W80" s="68">
        <f t="shared" si="24"/>
        <v>0</v>
      </c>
      <c r="X80" s="68">
        <f t="shared" si="24"/>
        <v>0</v>
      </c>
      <c r="Y80" s="68">
        <f t="shared" si="24"/>
        <v>0</v>
      </c>
      <c r="Z80" s="68">
        <f t="shared" si="24"/>
        <v>0</v>
      </c>
    </row>
    <row r="81" spans="1:26" hidden="1">
      <c r="A81" s="67" t="s">
        <v>225</v>
      </c>
      <c r="B81" s="83"/>
      <c r="C81" s="83"/>
      <c r="D81" s="68"/>
      <c r="E81" s="84"/>
      <c r="F81" s="85"/>
      <c r="G81" s="85"/>
      <c r="H81" s="85"/>
      <c r="I81" s="85"/>
      <c r="J81" s="85"/>
      <c r="K81" s="84"/>
      <c r="L81" s="85"/>
      <c r="M81" s="85"/>
      <c r="N81" s="85"/>
      <c r="O81" s="85"/>
      <c r="P81" s="85"/>
      <c r="Q81" s="85"/>
      <c r="R81" s="85"/>
      <c r="S81" s="85"/>
      <c r="T81" s="84"/>
      <c r="U81" s="85"/>
      <c r="V81" s="85"/>
      <c r="W81" s="85"/>
      <c r="X81" s="85"/>
      <c r="Y81" s="85"/>
      <c r="Z81" s="85"/>
    </row>
    <row r="82" spans="1:26" ht="65" hidden="1">
      <c r="A82" s="67" t="s">
        <v>373</v>
      </c>
      <c r="B82" s="67">
        <v>231.1</v>
      </c>
      <c r="C82" s="67" t="s">
        <v>374</v>
      </c>
      <c r="D82" s="68">
        <f>E82+K82+S82+T82</f>
        <v>0</v>
      </c>
      <c r="E82" s="68">
        <f>SUM(F82:J82)</f>
        <v>0</v>
      </c>
      <c r="F82" s="69"/>
      <c r="G82" s="69"/>
      <c r="H82" s="69"/>
      <c r="I82" s="69"/>
      <c r="J82" s="69"/>
      <c r="K82" s="68">
        <f>SUM(L82:R82)</f>
        <v>0</v>
      </c>
      <c r="L82" s="69"/>
      <c r="M82" s="69"/>
      <c r="N82" s="69"/>
      <c r="O82" s="69"/>
      <c r="P82" s="69"/>
      <c r="Q82" s="69"/>
      <c r="R82" s="69"/>
      <c r="S82" s="69"/>
      <c r="T82" s="68">
        <f>SUM(U82:Z82)</f>
        <v>0</v>
      </c>
      <c r="U82" s="69"/>
      <c r="V82" s="69"/>
      <c r="W82" s="69"/>
      <c r="X82" s="69"/>
      <c r="Y82" s="69"/>
      <c r="Z82" s="69"/>
    </row>
    <row r="83" spans="1:26" ht="26">
      <c r="A83" s="67" t="s">
        <v>375</v>
      </c>
      <c r="B83" s="67">
        <v>232</v>
      </c>
      <c r="C83" s="67">
        <v>850</v>
      </c>
      <c r="D83" s="68">
        <f>E83+K83+S83+T83</f>
        <v>1300</v>
      </c>
      <c r="E83" s="68">
        <f>SUM(F83:J83)</f>
        <v>0</v>
      </c>
      <c r="F83" s="68">
        <f>SUM(F85:F88)</f>
        <v>0</v>
      </c>
      <c r="G83" s="68">
        <f>SUM(G85:G88)</f>
        <v>0</v>
      </c>
      <c r="H83" s="68">
        <f>SUM(H85:H88)</f>
        <v>0</v>
      </c>
      <c r="I83" s="68">
        <f>SUM(I85:I88)</f>
        <v>0</v>
      </c>
      <c r="J83" s="68">
        <f>SUM(J85:J88)</f>
        <v>0</v>
      </c>
      <c r="K83" s="68">
        <f>SUM(L83:R83)</f>
        <v>1300</v>
      </c>
      <c r="L83" s="68">
        <f t="shared" ref="L83:S83" si="25">SUM(L85:L88)</f>
        <v>0</v>
      </c>
      <c r="M83" s="68">
        <f t="shared" si="25"/>
        <v>1300</v>
      </c>
      <c r="N83" s="68">
        <f t="shared" si="25"/>
        <v>0</v>
      </c>
      <c r="O83" s="68">
        <f t="shared" si="25"/>
        <v>0</v>
      </c>
      <c r="P83" s="68">
        <f t="shared" si="25"/>
        <v>0</v>
      </c>
      <c r="Q83" s="68">
        <f t="shared" si="25"/>
        <v>0</v>
      </c>
      <c r="R83" s="68">
        <f t="shared" si="25"/>
        <v>0</v>
      </c>
      <c r="S83" s="68">
        <f t="shared" si="25"/>
        <v>0</v>
      </c>
      <c r="T83" s="68">
        <f>SUM(U83:Z83)</f>
        <v>0</v>
      </c>
      <c r="U83" s="68">
        <f t="shared" ref="U83:Z83" si="26">SUM(U85:U88)</f>
        <v>0</v>
      </c>
      <c r="V83" s="68">
        <f t="shared" si="26"/>
        <v>0</v>
      </c>
      <c r="W83" s="68">
        <f t="shared" si="26"/>
        <v>0</v>
      </c>
      <c r="X83" s="68">
        <f t="shared" si="26"/>
        <v>0</v>
      </c>
      <c r="Y83" s="68">
        <f t="shared" si="26"/>
        <v>0</v>
      </c>
      <c r="Z83" s="68">
        <f t="shared" si="26"/>
        <v>0</v>
      </c>
    </row>
    <row r="84" spans="1:26">
      <c r="A84" s="67" t="s">
        <v>225</v>
      </c>
      <c r="B84" s="79"/>
      <c r="C84" s="79"/>
      <c r="D84" s="68"/>
      <c r="E84" s="68"/>
      <c r="F84" s="69"/>
      <c r="G84" s="69"/>
      <c r="H84" s="69"/>
      <c r="I84" s="69"/>
      <c r="J84" s="69"/>
      <c r="K84" s="68"/>
      <c r="L84" s="69"/>
      <c r="M84" s="69"/>
      <c r="N84" s="69"/>
      <c r="O84" s="69"/>
      <c r="P84" s="69"/>
      <c r="Q84" s="69"/>
      <c r="R84" s="69"/>
      <c r="S84" s="69"/>
      <c r="T84" s="68"/>
      <c r="U84" s="69"/>
      <c r="V84" s="69"/>
      <c r="W84" s="69"/>
      <c r="X84" s="69"/>
      <c r="Y84" s="69"/>
      <c r="Z84" s="69"/>
    </row>
    <row r="85" spans="1:26" ht="39">
      <c r="A85" s="67" t="s">
        <v>376</v>
      </c>
      <c r="B85" s="67">
        <v>232.1</v>
      </c>
      <c r="C85" s="67" t="s">
        <v>377</v>
      </c>
      <c r="D85" s="68">
        <f>E85+K85+S85+T85</f>
        <v>1300</v>
      </c>
      <c r="E85" s="68">
        <f>SUM(F85:J85)</f>
        <v>0</v>
      </c>
      <c r="F85" s="69"/>
      <c r="G85" s="69"/>
      <c r="H85" s="69"/>
      <c r="I85" s="69"/>
      <c r="J85" s="69"/>
      <c r="K85" s="68">
        <f>SUM(L85:R85)</f>
        <v>1300</v>
      </c>
      <c r="L85" s="69"/>
      <c r="M85" s="69">
        <v>1300</v>
      </c>
      <c r="N85" s="69"/>
      <c r="O85" s="69"/>
      <c r="P85" s="69"/>
      <c r="Q85" s="69"/>
      <c r="R85" s="69"/>
      <c r="S85" s="69"/>
      <c r="T85" s="68">
        <f>SUM(U85:Z85)</f>
        <v>0</v>
      </c>
      <c r="U85" s="69"/>
      <c r="V85" s="69"/>
      <c r="W85" s="69"/>
      <c r="X85" s="69"/>
      <c r="Y85" s="69"/>
      <c r="Z85" s="69"/>
    </row>
    <row r="86" spans="1:26" ht="26" hidden="1">
      <c r="A86" s="67" t="s">
        <v>378</v>
      </c>
      <c r="B86" s="67">
        <v>232.2</v>
      </c>
      <c r="C86" s="67" t="s">
        <v>379</v>
      </c>
      <c r="D86" s="68">
        <f>E86+K86+S86+T86</f>
        <v>0</v>
      </c>
      <c r="E86" s="68">
        <f>SUM(F86:J86)</f>
        <v>0</v>
      </c>
      <c r="F86" s="69"/>
      <c r="G86" s="69"/>
      <c r="H86" s="69"/>
      <c r="I86" s="69"/>
      <c r="J86" s="69"/>
      <c r="K86" s="68">
        <f>SUM(L86:R86)</f>
        <v>0</v>
      </c>
      <c r="L86" s="69"/>
      <c r="M86" s="69"/>
      <c r="N86" s="69"/>
      <c r="O86" s="69"/>
      <c r="P86" s="69"/>
      <c r="Q86" s="69"/>
      <c r="R86" s="69"/>
      <c r="S86" s="69"/>
      <c r="T86" s="68">
        <f>SUM(U86:Z86)</f>
        <v>0</v>
      </c>
      <c r="U86" s="69"/>
      <c r="V86" s="69"/>
      <c r="W86" s="69"/>
      <c r="X86" s="69"/>
      <c r="Y86" s="69"/>
      <c r="Z86" s="69"/>
    </row>
    <row r="87" spans="1:26" ht="52" hidden="1">
      <c r="A87" s="67" t="s">
        <v>380</v>
      </c>
      <c r="B87" s="67">
        <v>232.3</v>
      </c>
      <c r="C87" s="67" t="s">
        <v>381</v>
      </c>
      <c r="D87" s="68">
        <f>E87+K87+S87+T87</f>
        <v>0</v>
      </c>
      <c r="E87" s="68">
        <f>SUM(F87:J87)</f>
        <v>0</v>
      </c>
      <c r="F87" s="69"/>
      <c r="G87" s="69"/>
      <c r="H87" s="69"/>
      <c r="I87" s="69"/>
      <c r="J87" s="69"/>
      <c r="K87" s="68">
        <f>SUM(L87:R87)</f>
        <v>0</v>
      </c>
      <c r="L87" s="69"/>
      <c r="M87" s="69"/>
      <c r="N87" s="69"/>
      <c r="O87" s="69"/>
      <c r="P87" s="69"/>
      <c r="Q87" s="69"/>
      <c r="R87" s="69"/>
      <c r="S87" s="69"/>
      <c r="T87" s="68">
        <f>SUM(U87:Z87)</f>
        <v>0</v>
      </c>
      <c r="U87" s="69"/>
      <c r="V87" s="69"/>
      <c r="W87" s="69"/>
      <c r="X87" s="69"/>
      <c r="Y87" s="69"/>
      <c r="Z87" s="69"/>
    </row>
    <row r="88" spans="1:26" ht="26" hidden="1">
      <c r="A88" s="67" t="s">
        <v>382</v>
      </c>
      <c r="B88" s="67">
        <v>232.4</v>
      </c>
      <c r="C88" s="67" t="s">
        <v>383</v>
      </c>
      <c r="D88" s="68">
        <f>E88+K88+S88+T88</f>
        <v>0</v>
      </c>
      <c r="E88" s="68">
        <f>SUM(F88:J88)</f>
        <v>0</v>
      </c>
      <c r="F88" s="69"/>
      <c r="G88" s="69"/>
      <c r="H88" s="69"/>
      <c r="I88" s="69"/>
      <c r="J88" s="69"/>
      <c r="K88" s="68">
        <f>SUM(L88:R88)</f>
        <v>0</v>
      </c>
      <c r="L88" s="69"/>
      <c r="M88" s="69"/>
      <c r="N88" s="69"/>
      <c r="O88" s="69"/>
      <c r="P88" s="69"/>
      <c r="Q88" s="69"/>
      <c r="R88" s="69"/>
      <c r="S88" s="69"/>
      <c r="T88" s="68">
        <f>SUM(U88:Z88)</f>
        <v>0</v>
      </c>
      <c r="U88" s="69"/>
      <c r="V88" s="69"/>
      <c r="W88" s="69"/>
      <c r="X88" s="69"/>
      <c r="Y88" s="69"/>
      <c r="Z88" s="69"/>
    </row>
    <row r="89" spans="1:26" hidden="1">
      <c r="A89" s="67"/>
      <c r="B89" s="67"/>
      <c r="C89" s="67"/>
      <c r="D89" s="68"/>
      <c r="E89" s="68"/>
      <c r="F89" s="69"/>
      <c r="G89" s="69"/>
      <c r="H89" s="69"/>
      <c r="I89" s="69"/>
      <c r="J89" s="69"/>
      <c r="K89" s="68"/>
      <c r="L89" s="69"/>
      <c r="M89" s="69"/>
      <c r="N89" s="69"/>
      <c r="O89" s="69"/>
      <c r="P89" s="69"/>
      <c r="Q89" s="69"/>
      <c r="R89" s="69"/>
      <c r="S89" s="69"/>
      <c r="T89" s="68"/>
      <c r="U89" s="69"/>
      <c r="V89" s="69"/>
      <c r="W89" s="69"/>
      <c r="X89" s="69"/>
      <c r="Y89" s="69"/>
      <c r="Z89" s="69"/>
    </row>
    <row r="90" spans="1:26" ht="26" hidden="1">
      <c r="A90" s="67" t="s">
        <v>384</v>
      </c>
      <c r="B90" s="67">
        <v>240</v>
      </c>
      <c r="C90" s="67"/>
      <c r="D90" s="68">
        <f>E90+K90+S90+T90</f>
        <v>0</v>
      </c>
      <c r="E90" s="68"/>
      <c r="F90" s="69"/>
      <c r="G90" s="69"/>
      <c r="H90" s="69"/>
      <c r="I90" s="69"/>
      <c r="J90" s="69"/>
      <c r="K90" s="68"/>
      <c r="L90" s="69"/>
      <c r="M90" s="69"/>
      <c r="N90" s="69"/>
      <c r="O90" s="69"/>
      <c r="P90" s="69"/>
      <c r="Q90" s="69"/>
      <c r="R90" s="69"/>
      <c r="S90" s="69"/>
      <c r="T90" s="68">
        <f>SUM(U90:Z90)</f>
        <v>0</v>
      </c>
      <c r="U90" s="69"/>
      <c r="V90" s="69"/>
      <c r="W90" s="69"/>
      <c r="X90" s="69"/>
      <c r="Y90" s="69"/>
      <c r="Z90" s="69"/>
    </row>
    <row r="91" spans="1:26" hidden="1">
      <c r="A91" s="67"/>
      <c r="B91" s="67"/>
      <c r="C91" s="67"/>
      <c r="D91" s="68"/>
      <c r="E91" s="68"/>
      <c r="F91" s="69"/>
      <c r="G91" s="69"/>
      <c r="H91" s="69"/>
      <c r="I91" s="69"/>
      <c r="J91" s="69"/>
      <c r="K91" s="68"/>
      <c r="L91" s="69"/>
      <c r="M91" s="69"/>
      <c r="N91" s="69"/>
      <c r="O91" s="69"/>
      <c r="P91" s="69"/>
      <c r="Q91" s="69"/>
      <c r="R91" s="69"/>
      <c r="S91" s="69"/>
      <c r="T91" s="68"/>
      <c r="U91" s="69"/>
      <c r="V91" s="69"/>
      <c r="W91" s="69"/>
      <c r="X91" s="69"/>
      <c r="Y91" s="69"/>
      <c r="Z91" s="69"/>
    </row>
    <row r="92" spans="1:26" ht="26" hidden="1">
      <c r="A92" s="67" t="s">
        <v>385</v>
      </c>
      <c r="B92" s="67">
        <v>250</v>
      </c>
      <c r="C92" s="67"/>
      <c r="D92" s="68">
        <f>E92+K92+S92+T92</f>
        <v>0</v>
      </c>
      <c r="E92" s="68">
        <f>SUM(F92:J92)</f>
        <v>0</v>
      </c>
      <c r="F92" s="69"/>
      <c r="G92" s="69"/>
      <c r="H92" s="69"/>
      <c r="I92" s="69"/>
      <c r="J92" s="69"/>
      <c r="K92" s="68">
        <f>SUM(L92:R92)</f>
        <v>0</v>
      </c>
      <c r="L92" s="69"/>
      <c r="M92" s="69"/>
      <c r="N92" s="69"/>
      <c r="O92" s="69"/>
      <c r="P92" s="69"/>
      <c r="Q92" s="69"/>
      <c r="R92" s="69"/>
      <c r="S92" s="69"/>
      <c r="T92" s="68">
        <f>SUM(U92:Z92)</f>
        <v>0</v>
      </c>
      <c r="U92" s="69"/>
      <c r="V92" s="69"/>
      <c r="W92" s="69"/>
      <c r="X92" s="69"/>
      <c r="Y92" s="69"/>
      <c r="Z92" s="69"/>
    </row>
    <row r="93" spans="1:26">
      <c r="A93" s="67"/>
      <c r="B93" s="67"/>
      <c r="C93" s="67"/>
      <c r="D93" s="68"/>
      <c r="E93" s="68"/>
      <c r="F93" s="69"/>
      <c r="G93" s="69"/>
      <c r="H93" s="69"/>
      <c r="I93" s="69"/>
      <c r="J93" s="69"/>
      <c r="K93" s="68"/>
      <c r="L93" s="69"/>
      <c r="M93" s="69"/>
      <c r="N93" s="69"/>
      <c r="O93" s="69"/>
      <c r="P93" s="69"/>
      <c r="Q93" s="69"/>
      <c r="R93" s="69"/>
      <c r="S93" s="69"/>
      <c r="T93" s="68"/>
      <c r="U93" s="69"/>
      <c r="V93" s="69"/>
      <c r="W93" s="69"/>
      <c r="X93" s="69"/>
      <c r="Y93" s="69"/>
      <c r="Z93" s="69"/>
    </row>
    <row r="94" spans="1:26" ht="24.75" customHeight="1">
      <c r="A94" s="67" t="s">
        <v>386</v>
      </c>
      <c r="B94" s="67">
        <v>260</v>
      </c>
      <c r="C94" s="67">
        <v>200</v>
      </c>
      <c r="D94" s="68">
        <f>E94+K94+S94+T94</f>
        <v>2184100</v>
      </c>
      <c r="E94" s="68">
        <f>SUM(F94:J94)</f>
        <v>1397100</v>
      </c>
      <c r="F94" s="68">
        <f>F96</f>
        <v>0</v>
      </c>
      <c r="G94" s="68">
        <f>G96</f>
        <v>0</v>
      </c>
      <c r="H94" s="68">
        <f>H96</f>
        <v>1207700</v>
      </c>
      <c r="I94" s="68">
        <f>I96</f>
        <v>0</v>
      </c>
      <c r="J94" s="68">
        <f>J96</f>
        <v>189400</v>
      </c>
      <c r="K94" s="68">
        <f>SUM(L94:R94)</f>
        <v>752000</v>
      </c>
      <c r="L94" s="68">
        <f t="shared" ref="L94:S94" si="27">L96</f>
        <v>0</v>
      </c>
      <c r="M94" s="68">
        <f t="shared" si="27"/>
        <v>0</v>
      </c>
      <c r="N94" s="68">
        <f t="shared" si="27"/>
        <v>0</v>
      </c>
      <c r="O94" s="68">
        <f t="shared" si="27"/>
        <v>0</v>
      </c>
      <c r="P94" s="68">
        <f t="shared" si="27"/>
        <v>0</v>
      </c>
      <c r="Q94" s="68">
        <f t="shared" si="27"/>
        <v>752000</v>
      </c>
      <c r="R94" s="68">
        <f t="shared" si="27"/>
        <v>0</v>
      </c>
      <c r="S94" s="68">
        <f t="shared" si="27"/>
        <v>0</v>
      </c>
      <c r="T94" s="68">
        <f>SUM(U94:Z94)</f>
        <v>35000</v>
      </c>
      <c r="U94" s="68">
        <f t="shared" ref="U94:Z94" si="28">U96</f>
        <v>0</v>
      </c>
      <c r="V94" s="68">
        <f t="shared" si="28"/>
        <v>0</v>
      </c>
      <c r="W94" s="68">
        <f t="shared" si="28"/>
        <v>0</v>
      </c>
      <c r="X94" s="68">
        <f t="shared" si="28"/>
        <v>0</v>
      </c>
      <c r="Y94" s="68">
        <f t="shared" si="28"/>
        <v>35000</v>
      </c>
      <c r="Z94" s="68">
        <f t="shared" si="28"/>
        <v>0</v>
      </c>
    </row>
    <row r="95" spans="1:26">
      <c r="A95" s="67" t="s">
        <v>227</v>
      </c>
      <c r="B95" s="67"/>
      <c r="C95" s="67"/>
      <c r="D95" s="68">
        <f>E95+K95+S95+T95</f>
        <v>0</v>
      </c>
      <c r="E95" s="68"/>
      <c r="F95" s="69"/>
      <c r="G95" s="69"/>
      <c r="H95" s="69"/>
      <c r="I95" s="69"/>
      <c r="J95" s="69"/>
      <c r="K95" s="68"/>
      <c r="L95" s="69"/>
      <c r="M95" s="69"/>
      <c r="N95" s="69"/>
      <c r="O95" s="69"/>
      <c r="P95" s="69"/>
      <c r="Q95" s="69"/>
      <c r="R95" s="69"/>
      <c r="S95" s="69"/>
      <c r="T95" s="68"/>
      <c r="U95" s="69"/>
      <c r="V95" s="69"/>
      <c r="W95" s="69"/>
      <c r="X95" s="69"/>
      <c r="Y95" s="69"/>
      <c r="Z95" s="69"/>
    </row>
    <row r="96" spans="1:26" ht="26">
      <c r="A96" s="67" t="s">
        <v>387</v>
      </c>
      <c r="B96" s="67">
        <v>261</v>
      </c>
      <c r="C96" s="67">
        <v>240</v>
      </c>
      <c r="D96" s="68">
        <f>E96+K96+S96+T96</f>
        <v>2184100</v>
      </c>
      <c r="E96" s="68">
        <f>SUM(F96:J96)</f>
        <v>1397100</v>
      </c>
      <c r="F96" s="68">
        <f>SUM(F98:F133)</f>
        <v>0</v>
      </c>
      <c r="G96" s="68">
        <f>SUM(G98:G133)</f>
        <v>0</v>
      </c>
      <c r="H96" s="68">
        <f>SUM(H98:H133)</f>
        <v>1207700</v>
      </c>
      <c r="I96" s="68">
        <f>SUM(I98:I133)</f>
        <v>0</v>
      </c>
      <c r="J96" s="68">
        <f>SUM(J98:J133)</f>
        <v>189400</v>
      </c>
      <c r="K96" s="68">
        <f>SUM(L96:R96)</f>
        <v>752000</v>
      </c>
      <c r="L96" s="68">
        <f t="shared" ref="L96:S96" si="29">SUM(L98:L133)</f>
        <v>0</v>
      </c>
      <c r="M96" s="68">
        <f t="shared" si="29"/>
        <v>0</v>
      </c>
      <c r="N96" s="68">
        <f t="shared" si="29"/>
        <v>0</v>
      </c>
      <c r="O96" s="68">
        <f t="shared" si="29"/>
        <v>0</v>
      </c>
      <c r="P96" s="68">
        <f t="shared" si="29"/>
        <v>0</v>
      </c>
      <c r="Q96" s="68">
        <f t="shared" si="29"/>
        <v>752000</v>
      </c>
      <c r="R96" s="68">
        <f t="shared" si="29"/>
        <v>0</v>
      </c>
      <c r="S96" s="68">
        <f t="shared" si="29"/>
        <v>0</v>
      </c>
      <c r="T96" s="68">
        <f>SUM(U96:Z96)</f>
        <v>35000</v>
      </c>
      <c r="U96" s="68">
        <f t="shared" ref="U96:Z96" si="30">SUM(U98:U133)</f>
        <v>0</v>
      </c>
      <c r="V96" s="68">
        <f t="shared" si="30"/>
        <v>0</v>
      </c>
      <c r="W96" s="68">
        <f t="shared" si="30"/>
        <v>0</v>
      </c>
      <c r="X96" s="68">
        <f t="shared" si="30"/>
        <v>0</v>
      </c>
      <c r="Y96" s="68">
        <f t="shared" si="30"/>
        <v>35000</v>
      </c>
      <c r="Z96" s="68">
        <f t="shared" si="30"/>
        <v>0</v>
      </c>
    </row>
    <row r="97" spans="1:26">
      <c r="A97" s="67" t="s">
        <v>225</v>
      </c>
      <c r="B97" s="67"/>
      <c r="C97" s="67"/>
      <c r="D97" s="68"/>
      <c r="E97" s="68"/>
      <c r="F97" s="69"/>
      <c r="G97" s="69"/>
      <c r="H97" s="69"/>
      <c r="I97" s="69"/>
      <c r="J97" s="69"/>
      <c r="K97" s="68"/>
      <c r="L97" s="69"/>
      <c r="M97" s="69"/>
      <c r="N97" s="69"/>
      <c r="O97" s="69"/>
      <c r="P97" s="69"/>
      <c r="Q97" s="69"/>
      <c r="R97" s="69"/>
      <c r="S97" s="69"/>
      <c r="T97" s="68"/>
      <c r="U97" s="69"/>
      <c r="V97" s="69"/>
      <c r="W97" s="69"/>
      <c r="X97" s="69"/>
      <c r="Y97" s="69"/>
      <c r="Z97" s="69"/>
    </row>
    <row r="98" spans="1:26" ht="26" hidden="1">
      <c r="A98" s="67" t="s">
        <v>388</v>
      </c>
      <c r="B98" s="67">
        <v>261.10000000000002</v>
      </c>
      <c r="C98" s="67" t="s">
        <v>389</v>
      </c>
      <c r="D98" s="68">
        <f t="shared" ref="D98:D133" si="31">E98+K98+S98+T98</f>
        <v>0</v>
      </c>
      <c r="E98" s="68">
        <f t="shared" ref="E98:E133" si="32">SUM(F98:J98)</f>
        <v>0</v>
      </c>
      <c r="F98" s="69"/>
      <c r="G98" s="69"/>
      <c r="H98" s="69"/>
      <c r="I98" s="69"/>
      <c r="J98" s="69"/>
      <c r="K98" s="68">
        <f t="shared" ref="K98:K133" si="33">SUM(L98:R98)</f>
        <v>0</v>
      </c>
      <c r="L98" s="69"/>
      <c r="M98" s="69"/>
      <c r="N98" s="69"/>
      <c r="O98" s="69"/>
      <c r="P98" s="69"/>
      <c r="Q98" s="69"/>
      <c r="R98" s="69"/>
      <c r="S98" s="69"/>
      <c r="T98" s="68">
        <f>SUM(U98:Z98)</f>
        <v>0</v>
      </c>
      <c r="U98" s="69"/>
      <c r="V98" s="69"/>
      <c r="W98" s="69"/>
      <c r="X98" s="69"/>
      <c r="Y98" s="69"/>
      <c r="Z98" s="69"/>
    </row>
    <row r="99" spans="1:26" ht="26">
      <c r="A99" s="67" t="s">
        <v>390</v>
      </c>
      <c r="B99" s="67">
        <v>261.2</v>
      </c>
      <c r="C99" s="67" t="s">
        <v>391</v>
      </c>
      <c r="D99" s="68">
        <f t="shared" si="31"/>
        <v>0</v>
      </c>
      <c r="E99" s="68">
        <f t="shared" si="32"/>
        <v>0</v>
      </c>
      <c r="F99" s="69"/>
      <c r="G99" s="69"/>
      <c r="H99" s="69"/>
      <c r="I99" s="69"/>
      <c r="J99" s="69"/>
      <c r="K99" s="68">
        <f t="shared" si="33"/>
        <v>0</v>
      </c>
      <c r="L99" s="69"/>
      <c r="M99" s="69"/>
      <c r="N99" s="69"/>
      <c r="O99" s="69"/>
      <c r="P99" s="69"/>
      <c r="Q99" s="69"/>
      <c r="R99" s="69"/>
      <c r="S99" s="69"/>
      <c r="T99" s="68">
        <f>SUM(U99:Z99)</f>
        <v>0</v>
      </c>
      <c r="U99" s="69"/>
      <c r="V99" s="69"/>
      <c r="W99" s="69"/>
      <c r="X99" s="69"/>
      <c r="Y99" s="69"/>
      <c r="Z99" s="69"/>
    </row>
    <row r="100" spans="1:26" ht="78" hidden="1">
      <c r="A100" s="67" t="s">
        <v>392</v>
      </c>
      <c r="B100" s="67">
        <v>261.3</v>
      </c>
      <c r="C100" s="67" t="s">
        <v>393</v>
      </c>
      <c r="D100" s="68">
        <f t="shared" si="31"/>
        <v>0</v>
      </c>
      <c r="E100" s="68">
        <f t="shared" si="32"/>
        <v>0</v>
      </c>
      <c r="F100" s="69"/>
      <c r="G100" s="69"/>
      <c r="H100" s="69"/>
      <c r="I100" s="69"/>
      <c r="J100" s="69"/>
      <c r="K100" s="68">
        <f t="shared" si="33"/>
        <v>0</v>
      </c>
      <c r="L100" s="69"/>
      <c r="M100" s="69"/>
      <c r="N100" s="69"/>
      <c r="O100" s="69"/>
      <c r="P100" s="69"/>
      <c r="Q100" s="69"/>
      <c r="R100" s="69"/>
      <c r="S100" s="69"/>
      <c r="T100" s="68">
        <f t="shared" ref="T100:T120" si="34">SUM(U100:Z100)</f>
        <v>0</v>
      </c>
      <c r="U100" s="69"/>
      <c r="V100" s="69"/>
      <c r="W100" s="69"/>
      <c r="X100" s="69"/>
      <c r="Y100" s="69"/>
      <c r="Z100" s="69"/>
    </row>
    <row r="101" spans="1:26" ht="26" hidden="1">
      <c r="A101" s="67" t="s">
        <v>394</v>
      </c>
      <c r="B101" s="67">
        <v>261.39999999999998</v>
      </c>
      <c r="C101" s="67" t="s">
        <v>395</v>
      </c>
      <c r="D101" s="68">
        <f t="shared" si="31"/>
        <v>0</v>
      </c>
      <c r="E101" s="68">
        <f t="shared" si="32"/>
        <v>0</v>
      </c>
      <c r="F101" s="69"/>
      <c r="G101" s="69"/>
      <c r="H101" s="69"/>
      <c r="I101" s="69"/>
      <c r="J101" s="69"/>
      <c r="K101" s="68">
        <f t="shared" si="33"/>
        <v>0</v>
      </c>
      <c r="L101" s="69"/>
      <c r="M101" s="69"/>
      <c r="N101" s="69"/>
      <c r="O101" s="69"/>
      <c r="P101" s="69"/>
      <c r="Q101" s="69"/>
      <c r="R101" s="69"/>
      <c r="S101" s="69"/>
      <c r="T101" s="68">
        <f t="shared" si="34"/>
        <v>0</v>
      </c>
      <c r="U101" s="69"/>
      <c r="V101" s="69"/>
      <c r="W101" s="69"/>
      <c r="X101" s="69"/>
      <c r="Y101" s="69"/>
      <c r="Z101" s="69"/>
    </row>
    <row r="102" spans="1:26" ht="26">
      <c r="A102" s="67" t="s">
        <v>396</v>
      </c>
      <c r="B102" s="67">
        <v>261.5</v>
      </c>
      <c r="C102" s="67" t="s">
        <v>627</v>
      </c>
      <c r="D102" s="68">
        <f t="shared" si="31"/>
        <v>18400</v>
      </c>
      <c r="E102" s="68">
        <f t="shared" si="32"/>
        <v>18400</v>
      </c>
      <c r="F102" s="69"/>
      <c r="G102" s="69"/>
      <c r="H102" s="69">
        <v>18400</v>
      </c>
      <c r="I102" s="69"/>
      <c r="J102" s="69"/>
      <c r="K102" s="68">
        <f t="shared" si="33"/>
        <v>0</v>
      </c>
      <c r="L102" s="69"/>
      <c r="M102" s="69"/>
      <c r="N102" s="69"/>
      <c r="O102" s="69"/>
      <c r="P102" s="69"/>
      <c r="Q102" s="69"/>
      <c r="R102" s="69"/>
      <c r="S102" s="69"/>
      <c r="T102" s="68">
        <f t="shared" si="34"/>
        <v>0</v>
      </c>
      <c r="U102" s="69"/>
      <c r="V102" s="69"/>
      <c r="W102" s="69"/>
      <c r="X102" s="69"/>
      <c r="Y102" s="69"/>
      <c r="Z102" s="69"/>
    </row>
    <row r="103" spans="1:26" ht="26">
      <c r="A103" s="67" t="s">
        <v>397</v>
      </c>
      <c r="B103" s="67">
        <v>261.60000000000002</v>
      </c>
      <c r="C103" s="67" t="s">
        <v>686</v>
      </c>
      <c r="D103" s="68">
        <f t="shared" si="31"/>
        <v>48000</v>
      </c>
      <c r="E103" s="68">
        <f t="shared" si="32"/>
        <v>48000</v>
      </c>
      <c r="F103" s="69"/>
      <c r="G103" s="69"/>
      <c r="H103" s="69">
        <v>48000</v>
      </c>
      <c r="I103" s="69"/>
      <c r="J103" s="69"/>
      <c r="K103" s="68">
        <f t="shared" si="33"/>
        <v>0</v>
      </c>
      <c r="L103" s="69"/>
      <c r="M103" s="69"/>
      <c r="N103" s="69"/>
      <c r="O103" s="69"/>
      <c r="P103" s="69"/>
      <c r="Q103" s="69"/>
      <c r="R103" s="69"/>
      <c r="S103" s="69"/>
      <c r="T103" s="68">
        <f t="shared" si="34"/>
        <v>0</v>
      </c>
      <c r="U103" s="69"/>
      <c r="V103" s="69"/>
      <c r="W103" s="69"/>
      <c r="X103" s="69"/>
      <c r="Y103" s="69"/>
      <c r="Z103" s="69"/>
    </row>
    <row r="104" spans="1:26" ht="26">
      <c r="A104" s="67" t="s">
        <v>352</v>
      </c>
      <c r="B104" s="67">
        <v>261.7</v>
      </c>
      <c r="C104" s="67" t="s">
        <v>628</v>
      </c>
      <c r="D104" s="68">
        <f t="shared" si="31"/>
        <v>752000</v>
      </c>
      <c r="E104" s="68">
        <f t="shared" si="32"/>
        <v>0</v>
      </c>
      <c r="F104" s="69"/>
      <c r="G104" s="69"/>
      <c r="H104" s="69"/>
      <c r="I104" s="69"/>
      <c r="J104" s="69"/>
      <c r="K104" s="68">
        <f t="shared" si="33"/>
        <v>752000</v>
      </c>
      <c r="L104" s="69"/>
      <c r="M104" s="69"/>
      <c r="N104" s="69"/>
      <c r="O104" s="69"/>
      <c r="P104" s="69"/>
      <c r="Q104" s="69">
        <v>752000</v>
      </c>
      <c r="R104" s="69"/>
      <c r="S104" s="69"/>
      <c r="T104" s="68">
        <f t="shared" si="34"/>
        <v>0</v>
      </c>
      <c r="U104" s="69"/>
      <c r="V104" s="69"/>
      <c r="W104" s="69"/>
      <c r="X104" s="69"/>
      <c r="Y104" s="69"/>
      <c r="Z104" s="69"/>
    </row>
    <row r="105" spans="1:26" ht="26">
      <c r="A105" s="67" t="s">
        <v>398</v>
      </c>
      <c r="B105" s="67">
        <v>261.8</v>
      </c>
      <c r="C105" s="67" t="s">
        <v>629</v>
      </c>
      <c r="D105" s="68">
        <f t="shared" si="31"/>
        <v>443800</v>
      </c>
      <c r="E105" s="68">
        <f t="shared" si="32"/>
        <v>443800</v>
      </c>
      <c r="F105" s="69"/>
      <c r="G105" s="69"/>
      <c r="H105" s="69">
        <v>443800</v>
      </c>
      <c r="I105" s="69"/>
      <c r="J105" s="69"/>
      <c r="K105" s="68">
        <f t="shared" si="33"/>
        <v>0</v>
      </c>
      <c r="L105" s="69"/>
      <c r="M105" s="69"/>
      <c r="N105" s="69"/>
      <c r="O105" s="69"/>
      <c r="P105" s="69"/>
      <c r="Q105" s="69"/>
      <c r="R105" s="69"/>
      <c r="S105" s="69"/>
      <c r="T105" s="68">
        <f t="shared" si="34"/>
        <v>0</v>
      </c>
      <c r="U105" s="69"/>
      <c r="V105" s="69"/>
      <c r="W105" s="69"/>
      <c r="X105" s="69"/>
      <c r="Y105" s="69"/>
      <c r="Z105" s="69"/>
    </row>
    <row r="106" spans="1:26" ht="26">
      <c r="A106" s="67" t="s">
        <v>399</v>
      </c>
      <c r="B106" s="67">
        <v>261.89999999999998</v>
      </c>
      <c r="C106" s="67" t="s">
        <v>630</v>
      </c>
      <c r="D106" s="68">
        <f t="shared" si="31"/>
        <v>206000</v>
      </c>
      <c r="E106" s="68">
        <f t="shared" si="32"/>
        <v>206000</v>
      </c>
      <c r="F106" s="69"/>
      <c r="G106" s="69"/>
      <c r="H106" s="69">
        <v>206000</v>
      </c>
      <c r="I106" s="69"/>
      <c r="J106" s="69"/>
      <c r="K106" s="68">
        <f t="shared" si="33"/>
        <v>0</v>
      </c>
      <c r="L106" s="69"/>
      <c r="M106" s="69"/>
      <c r="N106" s="69"/>
      <c r="O106" s="69"/>
      <c r="P106" s="69"/>
      <c r="Q106" s="69"/>
      <c r="R106" s="69"/>
      <c r="S106" s="69"/>
      <c r="T106" s="68">
        <f t="shared" si="34"/>
        <v>0</v>
      </c>
      <c r="U106" s="69"/>
      <c r="V106" s="69"/>
      <c r="W106" s="69"/>
      <c r="X106" s="69"/>
      <c r="Y106" s="69"/>
      <c r="Z106" s="69"/>
    </row>
    <row r="107" spans="1:26" ht="39">
      <c r="A107" s="67" t="s">
        <v>400</v>
      </c>
      <c r="B107" s="67">
        <v>261.10000000000002</v>
      </c>
      <c r="C107" s="67" t="s">
        <v>631</v>
      </c>
      <c r="D107" s="68">
        <f t="shared" si="31"/>
        <v>10200</v>
      </c>
      <c r="E107" s="68">
        <f t="shared" si="32"/>
        <v>10200</v>
      </c>
      <c r="F107" s="69"/>
      <c r="G107" s="69"/>
      <c r="H107" s="69">
        <v>10200</v>
      </c>
      <c r="I107" s="69"/>
      <c r="J107" s="69"/>
      <c r="K107" s="68">
        <f t="shared" si="33"/>
        <v>0</v>
      </c>
      <c r="L107" s="69"/>
      <c r="M107" s="69"/>
      <c r="N107" s="69"/>
      <c r="O107" s="69"/>
      <c r="P107" s="69"/>
      <c r="Q107" s="69"/>
      <c r="R107" s="69"/>
      <c r="S107" s="69"/>
      <c r="T107" s="68">
        <f t="shared" si="34"/>
        <v>0</v>
      </c>
      <c r="U107" s="69"/>
      <c r="V107" s="69"/>
      <c r="W107" s="69"/>
      <c r="X107" s="69"/>
      <c r="Y107" s="69"/>
      <c r="Z107" s="69"/>
    </row>
    <row r="108" spans="1:26" ht="26">
      <c r="A108" s="67" t="s">
        <v>401</v>
      </c>
      <c r="B108" s="67">
        <v>261.11</v>
      </c>
      <c r="C108" s="67" t="s">
        <v>632</v>
      </c>
      <c r="D108" s="68">
        <f t="shared" si="31"/>
        <v>11900</v>
      </c>
      <c r="E108" s="68">
        <f t="shared" si="32"/>
        <v>11900</v>
      </c>
      <c r="F108" s="69"/>
      <c r="G108" s="69"/>
      <c r="H108" s="69">
        <v>11900</v>
      </c>
      <c r="I108" s="69"/>
      <c r="J108" s="69"/>
      <c r="K108" s="68">
        <f t="shared" si="33"/>
        <v>0</v>
      </c>
      <c r="L108" s="69"/>
      <c r="M108" s="69"/>
      <c r="N108" s="69"/>
      <c r="O108" s="69"/>
      <c r="P108" s="69"/>
      <c r="Q108" s="69"/>
      <c r="R108" s="69"/>
      <c r="S108" s="69"/>
      <c r="T108" s="68">
        <f t="shared" si="34"/>
        <v>0</v>
      </c>
      <c r="U108" s="69"/>
      <c r="V108" s="69"/>
      <c r="W108" s="69"/>
      <c r="X108" s="69"/>
      <c r="Y108" s="69"/>
      <c r="Z108" s="69"/>
    </row>
    <row r="109" spans="1:26" ht="26" hidden="1">
      <c r="A109" s="67" t="s">
        <v>402</v>
      </c>
      <c r="B109" s="67">
        <v>261.12</v>
      </c>
      <c r="C109" s="67" t="s">
        <v>633</v>
      </c>
      <c r="D109" s="68">
        <f t="shared" si="31"/>
        <v>0</v>
      </c>
      <c r="E109" s="68">
        <f t="shared" si="32"/>
        <v>0</v>
      </c>
      <c r="F109" s="69"/>
      <c r="G109" s="69"/>
      <c r="H109" s="69"/>
      <c r="I109" s="69"/>
      <c r="J109" s="69"/>
      <c r="K109" s="68">
        <f t="shared" si="33"/>
        <v>0</v>
      </c>
      <c r="L109" s="69"/>
      <c r="M109" s="69"/>
      <c r="N109" s="69"/>
      <c r="O109" s="69"/>
      <c r="P109" s="69"/>
      <c r="Q109" s="69"/>
      <c r="R109" s="69"/>
      <c r="S109" s="69"/>
      <c r="T109" s="68">
        <f t="shared" si="34"/>
        <v>0</v>
      </c>
      <c r="U109" s="69"/>
      <c r="V109" s="69"/>
      <c r="W109" s="69"/>
      <c r="X109" s="69"/>
      <c r="Y109" s="69"/>
      <c r="Z109" s="69"/>
    </row>
    <row r="110" spans="1:26" ht="26">
      <c r="A110" s="67" t="s">
        <v>403</v>
      </c>
      <c r="B110" s="67">
        <v>261.13</v>
      </c>
      <c r="C110" s="67" t="s">
        <v>634</v>
      </c>
      <c r="D110" s="68">
        <f t="shared" si="31"/>
        <v>0</v>
      </c>
      <c r="E110" s="68">
        <f t="shared" si="32"/>
        <v>0</v>
      </c>
      <c r="F110" s="69"/>
      <c r="G110" s="69"/>
      <c r="H110" s="69"/>
      <c r="I110" s="69"/>
      <c r="J110" s="69"/>
      <c r="K110" s="68">
        <f t="shared" si="33"/>
        <v>0</v>
      </c>
      <c r="L110" s="69"/>
      <c r="M110" s="69"/>
      <c r="N110" s="69"/>
      <c r="O110" s="69"/>
      <c r="P110" s="69"/>
      <c r="Q110" s="69"/>
      <c r="R110" s="69"/>
      <c r="S110" s="69"/>
      <c r="T110" s="68">
        <f t="shared" si="34"/>
        <v>0</v>
      </c>
      <c r="U110" s="69"/>
      <c r="V110" s="69"/>
      <c r="W110" s="69"/>
      <c r="X110" s="69"/>
      <c r="Y110" s="69"/>
      <c r="Z110" s="69"/>
    </row>
    <row r="111" spans="1:26" ht="52">
      <c r="A111" s="67" t="s">
        <v>404</v>
      </c>
      <c r="B111" s="67">
        <v>261.14</v>
      </c>
      <c r="C111" s="67" t="s">
        <v>635</v>
      </c>
      <c r="D111" s="68">
        <f t="shared" si="31"/>
        <v>242400</v>
      </c>
      <c r="E111" s="68">
        <f t="shared" si="32"/>
        <v>242400</v>
      </c>
      <c r="F111" s="69"/>
      <c r="G111" s="69"/>
      <c r="H111" s="69">
        <f>282700-63900</f>
        <v>218800</v>
      </c>
      <c r="I111" s="69"/>
      <c r="J111" s="69">
        <v>23600</v>
      </c>
      <c r="K111" s="68">
        <f t="shared" si="33"/>
        <v>0</v>
      </c>
      <c r="L111" s="69"/>
      <c r="M111" s="69"/>
      <c r="N111" s="69"/>
      <c r="O111" s="69"/>
      <c r="P111" s="69"/>
      <c r="Q111" s="69"/>
      <c r="R111" s="69"/>
      <c r="S111" s="69"/>
      <c r="T111" s="68">
        <f t="shared" si="34"/>
        <v>0</v>
      </c>
      <c r="U111" s="69"/>
      <c r="V111" s="69"/>
      <c r="W111" s="69"/>
      <c r="X111" s="69"/>
      <c r="Y111" s="69"/>
      <c r="Z111" s="69"/>
    </row>
    <row r="112" spans="1:26" ht="39">
      <c r="A112" s="67" t="s">
        <v>405</v>
      </c>
      <c r="B112" s="67">
        <v>261.14999999999998</v>
      </c>
      <c r="C112" s="67" t="s">
        <v>636</v>
      </c>
      <c r="D112" s="68">
        <f t="shared" si="31"/>
        <v>51600</v>
      </c>
      <c r="E112" s="68">
        <f t="shared" si="32"/>
        <v>51600</v>
      </c>
      <c r="F112" s="69"/>
      <c r="G112" s="69"/>
      <c r="H112" s="69">
        <f>12717+34725+2593+1565</f>
        <v>51600</v>
      </c>
      <c r="I112" s="69"/>
      <c r="J112" s="69"/>
      <c r="K112" s="68">
        <f t="shared" si="33"/>
        <v>0</v>
      </c>
      <c r="L112" s="69"/>
      <c r="M112" s="69"/>
      <c r="N112" s="69"/>
      <c r="O112" s="69"/>
      <c r="P112" s="69"/>
      <c r="Q112" s="69"/>
      <c r="R112" s="69"/>
      <c r="S112" s="69"/>
      <c r="T112" s="68">
        <f t="shared" si="34"/>
        <v>0</v>
      </c>
      <c r="U112" s="69"/>
      <c r="V112" s="69"/>
      <c r="W112" s="69"/>
      <c r="X112" s="69"/>
      <c r="Y112" s="69"/>
      <c r="Z112" s="69"/>
    </row>
    <row r="113" spans="1:26" ht="130" hidden="1">
      <c r="A113" s="67" t="s">
        <v>406</v>
      </c>
      <c r="B113" s="67">
        <v>261.16000000000003</v>
      </c>
      <c r="C113" s="67" t="s">
        <v>407</v>
      </c>
      <c r="D113" s="68">
        <f t="shared" si="31"/>
        <v>0</v>
      </c>
      <c r="E113" s="68">
        <f t="shared" si="32"/>
        <v>0</v>
      </c>
      <c r="F113" s="69"/>
      <c r="G113" s="69"/>
      <c r="H113" s="69"/>
      <c r="I113" s="69"/>
      <c r="J113" s="69"/>
      <c r="K113" s="68">
        <f t="shared" si="33"/>
        <v>0</v>
      </c>
      <c r="L113" s="69"/>
      <c r="M113" s="69"/>
      <c r="N113" s="69"/>
      <c r="O113" s="69"/>
      <c r="P113" s="69"/>
      <c r="Q113" s="69"/>
      <c r="R113" s="69"/>
      <c r="S113" s="69"/>
      <c r="T113" s="68">
        <f t="shared" si="34"/>
        <v>0</v>
      </c>
      <c r="U113" s="69"/>
      <c r="V113" s="69"/>
      <c r="W113" s="69"/>
      <c r="X113" s="69"/>
      <c r="Y113" s="69"/>
      <c r="Z113" s="69"/>
    </row>
    <row r="114" spans="1:26" ht="26">
      <c r="A114" s="67" t="s">
        <v>408</v>
      </c>
      <c r="B114" s="67">
        <v>261.17</v>
      </c>
      <c r="C114" s="67" t="s">
        <v>637</v>
      </c>
      <c r="D114" s="68">
        <f t="shared" si="31"/>
        <v>103800</v>
      </c>
      <c r="E114" s="68">
        <f t="shared" si="32"/>
        <v>103800</v>
      </c>
      <c r="F114" s="69"/>
      <c r="G114" s="69"/>
      <c r="H114" s="69">
        <f>27400+9800</f>
        <v>37200</v>
      </c>
      <c r="I114" s="69"/>
      <c r="J114" s="69">
        <f>24420+42180</f>
        <v>66600</v>
      </c>
      <c r="K114" s="68">
        <f t="shared" si="33"/>
        <v>0</v>
      </c>
      <c r="L114" s="69"/>
      <c r="M114" s="69"/>
      <c r="N114" s="69"/>
      <c r="O114" s="69"/>
      <c r="P114" s="69"/>
      <c r="Q114" s="69"/>
      <c r="R114" s="69"/>
      <c r="S114" s="69"/>
      <c r="T114" s="68">
        <f t="shared" si="34"/>
        <v>0</v>
      </c>
      <c r="U114" s="69"/>
      <c r="V114" s="69"/>
      <c r="W114" s="69"/>
      <c r="X114" s="69"/>
      <c r="Y114" s="69"/>
      <c r="Z114" s="69"/>
    </row>
    <row r="115" spans="1:26" ht="104">
      <c r="A115" s="67" t="s">
        <v>409</v>
      </c>
      <c r="B115" s="67">
        <v>261.18</v>
      </c>
      <c r="C115" s="67" t="s">
        <v>638</v>
      </c>
      <c r="D115" s="68">
        <f t="shared" si="31"/>
        <v>0</v>
      </c>
      <c r="E115" s="68">
        <f t="shared" si="32"/>
        <v>0</v>
      </c>
      <c r="F115" s="69"/>
      <c r="G115" s="69"/>
      <c r="H115" s="69"/>
      <c r="I115" s="69"/>
      <c r="J115" s="69"/>
      <c r="K115" s="68">
        <f t="shared" si="33"/>
        <v>0</v>
      </c>
      <c r="L115" s="69"/>
      <c r="M115" s="69"/>
      <c r="N115" s="69"/>
      <c r="O115" s="69"/>
      <c r="P115" s="69"/>
      <c r="Q115" s="69"/>
      <c r="R115" s="69"/>
      <c r="S115" s="69"/>
      <c r="T115" s="68">
        <f t="shared" si="34"/>
        <v>0</v>
      </c>
      <c r="U115" s="69"/>
      <c r="V115" s="69"/>
      <c r="W115" s="69"/>
      <c r="X115" s="69"/>
      <c r="Y115" s="69"/>
      <c r="Z115" s="69"/>
    </row>
    <row r="116" spans="1:26" ht="91" hidden="1">
      <c r="A116" s="67" t="s">
        <v>410</v>
      </c>
      <c r="B116" s="67">
        <v>261.19</v>
      </c>
      <c r="C116" s="67" t="s">
        <v>639</v>
      </c>
      <c r="D116" s="68">
        <f t="shared" si="31"/>
        <v>0</v>
      </c>
      <c r="E116" s="68">
        <f t="shared" si="32"/>
        <v>0</v>
      </c>
      <c r="F116" s="69"/>
      <c r="G116" s="69"/>
      <c r="H116" s="69"/>
      <c r="I116" s="69"/>
      <c r="J116" s="69"/>
      <c r="K116" s="68">
        <f t="shared" si="33"/>
        <v>0</v>
      </c>
      <c r="L116" s="69"/>
      <c r="M116" s="69"/>
      <c r="N116" s="69"/>
      <c r="O116" s="69"/>
      <c r="P116" s="69"/>
      <c r="Q116" s="69"/>
      <c r="R116" s="69"/>
      <c r="S116" s="69"/>
      <c r="T116" s="68">
        <f t="shared" si="34"/>
        <v>0</v>
      </c>
      <c r="U116" s="69"/>
      <c r="V116" s="69"/>
      <c r="W116" s="69"/>
      <c r="X116" s="69"/>
      <c r="Y116" s="69"/>
      <c r="Z116" s="69"/>
    </row>
    <row r="117" spans="1:26" ht="39">
      <c r="A117" s="67" t="s">
        <v>411</v>
      </c>
      <c r="B117" s="67">
        <v>261.2</v>
      </c>
      <c r="C117" s="67" t="s">
        <v>640</v>
      </c>
      <c r="D117" s="68">
        <f t="shared" si="31"/>
        <v>99200</v>
      </c>
      <c r="E117" s="68">
        <f t="shared" si="32"/>
        <v>99200</v>
      </c>
      <c r="F117" s="69"/>
      <c r="G117" s="69"/>
      <c r="H117" s="69"/>
      <c r="I117" s="69"/>
      <c r="J117" s="69">
        <v>99200</v>
      </c>
      <c r="K117" s="68">
        <f t="shared" si="33"/>
        <v>0</v>
      </c>
      <c r="L117" s="69"/>
      <c r="M117" s="69"/>
      <c r="N117" s="69"/>
      <c r="O117" s="69"/>
      <c r="P117" s="69"/>
      <c r="Q117" s="69"/>
      <c r="R117" s="69"/>
      <c r="S117" s="69"/>
      <c r="T117" s="68">
        <f t="shared" si="34"/>
        <v>0</v>
      </c>
      <c r="U117" s="69"/>
      <c r="V117" s="69"/>
      <c r="W117" s="69"/>
      <c r="X117" s="69"/>
      <c r="Y117" s="69"/>
      <c r="Z117" s="69"/>
    </row>
    <row r="118" spans="1:26" ht="26" hidden="1">
      <c r="A118" s="67" t="s">
        <v>412</v>
      </c>
      <c r="B118" s="67">
        <v>261.20999999999998</v>
      </c>
      <c r="C118" s="67" t="s">
        <v>413</v>
      </c>
      <c r="D118" s="68">
        <f t="shared" si="31"/>
        <v>0</v>
      </c>
      <c r="E118" s="68">
        <f t="shared" si="32"/>
        <v>0</v>
      </c>
      <c r="F118" s="69"/>
      <c r="G118" s="69"/>
      <c r="H118" s="69"/>
      <c r="I118" s="69"/>
      <c r="J118" s="69"/>
      <c r="K118" s="68">
        <f t="shared" si="33"/>
        <v>0</v>
      </c>
      <c r="L118" s="69"/>
      <c r="M118" s="69"/>
      <c r="N118" s="69"/>
      <c r="O118" s="69"/>
      <c r="P118" s="69"/>
      <c r="Q118" s="69"/>
      <c r="R118" s="69"/>
      <c r="S118" s="69"/>
      <c r="T118" s="68">
        <f t="shared" si="34"/>
        <v>0</v>
      </c>
      <c r="U118" s="69"/>
      <c r="V118" s="69"/>
      <c r="W118" s="69"/>
      <c r="X118" s="69"/>
      <c r="Y118" s="69"/>
      <c r="Z118" s="69"/>
    </row>
    <row r="119" spans="1:26" ht="39">
      <c r="A119" s="67" t="s">
        <v>414</v>
      </c>
      <c r="B119" s="67">
        <v>261.22000000000003</v>
      </c>
      <c r="C119" s="67" t="s">
        <v>641</v>
      </c>
      <c r="D119" s="68">
        <f t="shared" si="31"/>
        <v>36800</v>
      </c>
      <c r="E119" s="68">
        <f t="shared" si="32"/>
        <v>36800</v>
      </c>
      <c r="F119" s="69"/>
      <c r="G119" s="69"/>
      <c r="H119" s="69">
        <v>36800</v>
      </c>
      <c r="I119" s="69"/>
      <c r="J119" s="69"/>
      <c r="K119" s="68">
        <f t="shared" si="33"/>
        <v>0</v>
      </c>
      <c r="L119" s="69"/>
      <c r="M119" s="69"/>
      <c r="N119" s="69"/>
      <c r="O119" s="69"/>
      <c r="P119" s="69"/>
      <c r="Q119" s="69"/>
      <c r="R119" s="69"/>
      <c r="S119" s="69"/>
      <c r="T119" s="68">
        <f t="shared" si="34"/>
        <v>0</v>
      </c>
      <c r="U119" s="69"/>
      <c r="V119" s="69"/>
      <c r="W119" s="69"/>
      <c r="X119" s="69"/>
      <c r="Y119" s="69"/>
      <c r="Z119" s="69"/>
    </row>
    <row r="120" spans="1:26" ht="26">
      <c r="A120" s="67" t="s">
        <v>415</v>
      </c>
      <c r="B120" s="67">
        <v>261.23</v>
      </c>
      <c r="C120" s="67" t="s">
        <v>642</v>
      </c>
      <c r="D120" s="68">
        <f t="shared" si="31"/>
        <v>10000</v>
      </c>
      <c r="E120" s="68">
        <f t="shared" si="32"/>
        <v>10000</v>
      </c>
      <c r="F120" s="69"/>
      <c r="G120" s="69"/>
      <c r="H120" s="69">
        <v>10000</v>
      </c>
      <c r="I120" s="69"/>
      <c r="J120" s="69"/>
      <c r="K120" s="68">
        <f t="shared" si="33"/>
        <v>0</v>
      </c>
      <c r="L120" s="69"/>
      <c r="M120" s="69"/>
      <c r="N120" s="69"/>
      <c r="O120" s="69"/>
      <c r="P120" s="69"/>
      <c r="Q120" s="69"/>
      <c r="R120" s="69"/>
      <c r="S120" s="69"/>
      <c r="T120" s="68">
        <f t="shared" si="34"/>
        <v>0</v>
      </c>
      <c r="U120" s="69"/>
      <c r="V120" s="69"/>
      <c r="W120" s="69"/>
      <c r="X120" s="69"/>
      <c r="Y120" s="69"/>
      <c r="Z120" s="69"/>
    </row>
    <row r="121" spans="1:26" ht="169" hidden="1">
      <c r="A121" s="67" t="s">
        <v>416</v>
      </c>
      <c r="B121" s="67">
        <v>261.24</v>
      </c>
      <c r="C121" s="67" t="s">
        <v>417</v>
      </c>
      <c r="D121" s="68">
        <f t="shared" si="31"/>
        <v>0</v>
      </c>
      <c r="E121" s="68">
        <f t="shared" si="32"/>
        <v>0</v>
      </c>
      <c r="F121" s="69"/>
      <c r="G121" s="69"/>
      <c r="H121" s="69"/>
      <c r="I121" s="69"/>
      <c r="J121" s="69"/>
      <c r="K121" s="68">
        <f t="shared" si="33"/>
        <v>0</v>
      </c>
      <c r="L121" s="69"/>
      <c r="M121" s="69"/>
      <c r="N121" s="69"/>
      <c r="O121" s="69"/>
      <c r="P121" s="69"/>
      <c r="Q121" s="69"/>
      <c r="R121" s="69"/>
      <c r="S121" s="69"/>
      <c r="T121" s="68">
        <f t="shared" ref="T121:T133" si="35">SUM(U121:Z121)</f>
        <v>0</v>
      </c>
      <c r="U121" s="69"/>
      <c r="V121" s="69"/>
      <c r="W121" s="69"/>
      <c r="X121" s="69"/>
      <c r="Y121" s="69"/>
      <c r="Z121" s="69"/>
    </row>
    <row r="122" spans="1:26" ht="52">
      <c r="A122" s="67" t="s">
        <v>418</v>
      </c>
      <c r="B122" s="67">
        <v>261.25</v>
      </c>
      <c r="C122" s="67" t="s">
        <v>643</v>
      </c>
      <c r="D122" s="68">
        <f t="shared" si="31"/>
        <v>0</v>
      </c>
      <c r="E122" s="68">
        <f t="shared" si="32"/>
        <v>0</v>
      </c>
      <c r="F122" s="69"/>
      <c r="G122" s="69"/>
      <c r="H122" s="69"/>
      <c r="I122" s="69"/>
      <c r="J122" s="69"/>
      <c r="K122" s="68">
        <f t="shared" si="33"/>
        <v>0</v>
      </c>
      <c r="L122" s="69"/>
      <c r="M122" s="69"/>
      <c r="N122" s="69"/>
      <c r="O122" s="69"/>
      <c r="P122" s="69"/>
      <c r="Q122" s="69"/>
      <c r="R122" s="69"/>
      <c r="S122" s="69"/>
      <c r="T122" s="68">
        <f t="shared" si="35"/>
        <v>0</v>
      </c>
      <c r="U122" s="69"/>
      <c r="V122" s="69"/>
      <c r="W122" s="69"/>
      <c r="X122" s="69"/>
      <c r="Y122" s="69"/>
      <c r="Z122" s="69"/>
    </row>
    <row r="123" spans="1:26" ht="26">
      <c r="A123" s="67" t="s">
        <v>419</v>
      </c>
      <c r="B123" s="67">
        <v>261.26</v>
      </c>
      <c r="C123" s="67" t="s">
        <v>644</v>
      </c>
      <c r="D123" s="68">
        <f t="shared" si="31"/>
        <v>115000</v>
      </c>
      <c r="E123" s="68">
        <f t="shared" si="32"/>
        <v>115000</v>
      </c>
      <c r="F123" s="69"/>
      <c r="G123" s="69"/>
      <c r="H123" s="69">
        <v>115000</v>
      </c>
      <c r="I123" s="69"/>
      <c r="J123" s="69"/>
      <c r="K123" s="68">
        <f t="shared" si="33"/>
        <v>0</v>
      </c>
      <c r="L123" s="69"/>
      <c r="M123" s="69"/>
      <c r="N123" s="69"/>
      <c r="O123" s="69"/>
      <c r="P123" s="69"/>
      <c r="Q123" s="69"/>
      <c r="R123" s="69"/>
      <c r="S123" s="69"/>
      <c r="T123" s="68">
        <f t="shared" si="35"/>
        <v>0</v>
      </c>
      <c r="U123" s="69"/>
      <c r="V123" s="69"/>
      <c r="W123" s="69"/>
      <c r="X123" s="69"/>
      <c r="Y123" s="69"/>
      <c r="Z123" s="69"/>
    </row>
    <row r="124" spans="1:26" ht="39" hidden="1">
      <c r="A124" s="67" t="s">
        <v>420</v>
      </c>
      <c r="B124" s="67">
        <v>261.27</v>
      </c>
      <c r="C124" s="67" t="s">
        <v>421</v>
      </c>
      <c r="D124" s="68">
        <f t="shared" si="31"/>
        <v>0</v>
      </c>
      <c r="E124" s="68">
        <f t="shared" si="32"/>
        <v>0</v>
      </c>
      <c r="F124" s="69"/>
      <c r="G124" s="69"/>
      <c r="H124" s="69"/>
      <c r="I124" s="69"/>
      <c r="J124" s="69"/>
      <c r="K124" s="68">
        <f t="shared" si="33"/>
        <v>0</v>
      </c>
      <c r="L124" s="69"/>
      <c r="M124" s="69"/>
      <c r="N124" s="69"/>
      <c r="O124" s="69"/>
      <c r="P124" s="69"/>
      <c r="Q124" s="69"/>
      <c r="R124" s="69"/>
      <c r="S124" s="69"/>
      <c r="T124" s="68">
        <f t="shared" si="35"/>
        <v>0</v>
      </c>
      <c r="U124" s="69"/>
      <c r="V124" s="69"/>
      <c r="W124" s="69"/>
      <c r="X124" s="69"/>
      <c r="Y124" s="69"/>
      <c r="Z124" s="69"/>
    </row>
    <row r="125" spans="1:26" ht="52" hidden="1">
      <c r="A125" s="67" t="s">
        <v>422</v>
      </c>
      <c r="B125" s="67">
        <v>261.27999999999997</v>
      </c>
      <c r="C125" s="67" t="s">
        <v>645</v>
      </c>
      <c r="D125" s="68">
        <f t="shared" si="31"/>
        <v>0</v>
      </c>
      <c r="E125" s="68">
        <f t="shared" si="32"/>
        <v>0</v>
      </c>
      <c r="F125" s="69"/>
      <c r="G125" s="69"/>
      <c r="H125" s="69"/>
      <c r="I125" s="69"/>
      <c r="J125" s="69"/>
      <c r="K125" s="68">
        <f t="shared" si="33"/>
        <v>0</v>
      </c>
      <c r="L125" s="69"/>
      <c r="M125" s="69"/>
      <c r="N125" s="69"/>
      <c r="O125" s="69"/>
      <c r="P125" s="69"/>
      <c r="Q125" s="69"/>
      <c r="R125" s="69"/>
      <c r="S125" s="69"/>
      <c r="T125" s="68">
        <f t="shared" si="35"/>
        <v>0</v>
      </c>
      <c r="U125" s="69"/>
      <c r="V125" s="69"/>
      <c r="W125" s="69"/>
      <c r="X125" s="69"/>
      <c r="Y125" s="69"/>
      <c r="Z125" s="69"/>
    </row>
    <row r="126" spans="1:26" ht="26" hidden="1">
      <c r="A126" s="67" t="s">
        <v>423</v>
      </c>
      <c r="B126" s="67">
        <v>261.29000000000002</v>
      </c>
      <c r="C126" s="67" t="s">
        <v>424</v>
      </c>
      <c r="D126" s="68">
        <f t="shared" si="31"/>
        <v>0</v>
      </c>
      <c r="E126" s="68">
        <f t="shared" si="32"/>
        <v>0</v>
      </c>
      <c r="F126" s="69"/>
      <c r="G126" s="69"/>
      <c r="H126" s="69"/>
      <c r="I126" s="69"/>
      <c r="J126" s="69"/>
      <c r="K126" s="68">
        <f t="shared" si="33"/>
        <v>0</v>
      </c>
      <c r="L126" s="69"/>
      <c r="M126" s="69"/>
      <c r="N126" s="69"/>
      <c r="O126" s="69"/>
      <c r="P126" s="69"/>
      <c r="Q126" s="69"/>
      <c r="R126" s="69"/>
      <c r="S126" s="69"/>
      <c r="T126" s="68">
        <f t="shared" si="35"/>
        <v>0</v>
      </c>
      <c r="U126" s="69"/>
      <c r="V126" s="69"/>
      <c r="W126" s="69"/>
      <c r="X126" s="69"/>
      <c r="Y126" s="69"/>
      <c r="Z126" s="69"/>
    </row>
    <row r="127" spans="1:26" ht="26" hidden="1">
      <c r="A127" s="67" t="s">
        <v>425</v>
      </c>
      <c r="B127" s="67">
        <v>261.3</v>
      </c>
      <c r="C127" s="67" t="s">
        <v>646</v>
      </c>
      <c r="D127" s="68">
        <f t="shared" si="31"/>
        <v>0</v>
      </c>
      <c r="E127" s="68">
        <f t="shared" si="32"/>
        <v>0</v>
      </c>
      <c r="F127" s="69"/>
      <c r="G127" s="69"/>
      <c r="H127" s="69"/>
      <c r="I127" s="69"/>
      <c r="J127" s="69"/>
      <c r="K127" s="68">
        <f t="shared" si="33"/>
        <v>0</v>
      </c>
      <c r="L127" s="69"/>
      <c r="M127" s="69"/>
      <c r="N127" s="69"/>
      <c r="O127" s="69"/>
      <c r="P127" s="69"/>
      <c r="Q127" s="69"/>
      <c r="R127" s="69"/>
      <c r="S127" s="69"/>
      <c r="T127" s="68">
        <f t="shared" si="35"/>
        <v>0</v>
      </c>
      <c r="U127" s="69"/>
      <c r="V127" s="69"/>
      <c r="W127" s="69"/>
      <c r="X127" s="69"/>
      <c r="Y127" s="69"/>
      <c r="Z127" s="69"/>
    </row>
    <row r="128" spans="1:26" ht="26" hidden="1">
      <c r="A128" s="67" t="s">
        <v>426</v>
      </c>
      <c r="B128" s="67">
        <v>261.31</v>
      </c>
      <c r="C128" s="67" t="s">
        <v>427</v>
      </c>
      <c r="D128" s="68">
        <f t="shared" si="31"/>
        <v>0</v>
      </c>
      <c r="E128" s="68">
        <f t="shared" si="32"/>
        <v>0</v>
      </c>
      <c r="F128" s="69"/>
      <c r="G128" s="69"/>
      <c r="H128" s="69"/>
      <c r="I128" s="69"/>
      <c r="J128" s="69"/>
      <c r="K128" s="68">
        <f t="shared" si="33"/>
        <v>0</v>
      </c>
      <c r="L128" s="69"/>
      <c r="M128" s="69"/>
      <c r="N128" s="69"/>
      <c r="O128" s="69"/>
      <c r="P128" s="69"/>
      <c r="Q128" s="69"/>
      <c r="R128" s="69"/>
      <c r="S128" s="69"/>
      <c r="T128" s="68">
        <f t="shared" si="35"/>
        <v>0</v>
      </c>
      <c r="U128" s="69"/>
      <c r="V128" s="69"/>
      <c r="W128" s="69"/>
      <c r="X128" s="69"/>
      <c r="Y128" s="69"/>
      <c r="Z128" s="69"/>
    </row>
    <row r="129" spans="1:26" ht="26" hidden="1">
      <c r="A129" s="67" t="s">
        <v>428</v>
      </c>
      <c r="B129" s="67">
        <v>261.32</v>
      </c>
      <c r="C129" s="67" t="s">
        <v>647</v>
      </c>
      <c r="D129" s="68">
        <f t="shared" si="31"/>
        <v>0</v>
      </c>
      <c r="E129" s="68">
        <f t="shared" si="32"/>
        <v>0</v>
      </c>
      <c r="F129" s="69"/>
      <c r="G129" s="69"/>
      <c r="H129" s="69"/>
      <c r="I129" s="69"/>
      <c r="J129" s="69"/>
      <c r="K129" s="68">
        <f t="shared" si="33"/>
        <v>0</v>
      </c>
      <c r="L129" s="69"/>
      <c r="M129" s="69"/>
      <c r="N129" s="69"/>
      <c r="O129" s="69"/>
      <c r="P129" s="69"/>
      <c r="Q129" s="69"/>
      <c r="R129" s="69"/>
      <c r="S129" s="69"/>
      <c r="T129" s="68">
        <f t="shared" si="35"/>
        <v>0</v>
      </c>
      <c r="U129" s="69"/>
      <c r="V129" s="69"/>
      <c r="W129" s="69"/>
      <c r="X129" s="69"/>
      <c r="Y129" s="69"/>
      <c r="Z129" s="69"/>
    </row>
    <row r="130" spans="1:26" ht="26" hidden="1">
      <c r="A130" s="67" t="s">
        <v>429</v>
      </c>
      <c r="B130" s="67">
        <v>261.33</v>
      </c>
      <c r="C130" s="67" t="s">
        <v>648</v>
      </c>
      <c r="D130" s="68">
        <f t="shared" si="31"/>
        <v>0</v>
      </c>
      <c r="E130" s="68">
        <f t="shared" si="32"/>
        <v>0</v>
      </c>
      <c r="F130" s="69"/>
      <c r="G130" s="69"/>
      <c r="H130" s="69"/>
      <c r="I130" s="69"/>
      <c r="J130" s="69"/>
      <c r="K130" s="68">
        <f t="shared" si="33"/>
        <v>0</v>
      </c>
      <c r="L130" s="69"/>
      <c r="M130" s="69"/>
      <c r="N130" s="69"/>
      <c r="O130" s="69"/>
      <c r="P130" s="69"/>
      <c r="Q130" s="69"/>
      <c r="R130" s="69"/>
      <c r="S130" s="69"/>
      <c r="T130" s="68">
        <f t="shared" si="35"/>
        <v>0</v>
      </c>
      <c r="U130" s="69"/>
      <c r="V130" s="69"/>
      <c r="W130" s="69"/>
      <c r="X130" s="69"/>
      <c r="Y130" s="69"/>
      <c r="Z130" s="69"/>
    </row>
    <row r="131" spans="1:26" ht="26" hidden="1">
      <c r="A131" s="67" t="s">
        <v>430</v>
      </c>
      <c r="B131" s="67">
        <v>261.33999999999997</v>
      </c>
      <c r="C131" s="67" t="s">
        <v>431</v>
      </c>
      <c r="D131" s="68">
        <f t="shared" si="31"/>
        <v>0</v>
      </c>
      <c r="E131" s="68">
        <f t="shared" si="32"/>
        <v>0</v>
      </c>
      <c r="F131" s="69"/>
      <c r="G131" s="69"/>
      <c r="H131" s="69"/>
      <c r="I131" s="69"/>
      <c r="J131" s="69"/>
      <c r="K131" s="68">
        <f t="shared" si="33"/>
        <v>0</v>
      </c>
      <c r="L131" s="69"/>
      <c r="M131" s="69"/>
      <c r="N131" s="69"/>
      <c r="O131" s="69"/>
      <c r="P131" s="69"/>
      <c r="Q131" s="69"/>
      <c r="R131" s="69"/>
      <c r="S131" s="69"/>
      <c r="T131" s="68">
        <f t="shared" si="35"/>
        <v>0</v>
      </c>
      <c r="U131" s="69"/>
      <c r="V131" s="69"/>
      <c r="W131" s="69"/>
      <c r="X131" s="69"/>
      <c r="Y131" s="69"/>
      <c r="Z131" s="69"/>
    </row>
    <row r="132" spans="1:26" ht="26" hidden="1">
      <c r="A132" s="67" t="s">
        <v>432</v>
      </c>
      <c r="B132" s="67">
        <v>261.35000000000002</v>
      </c>
      <c r="C132" s="67" t="s">
        <v>433</v>
      </c>
      <c r="D132" s="68">
        <f t="shared" si="31"/>
        <v>0</v>
      </c>
      <c r="E132" s="68">
        <f t="shared" si="32"/>
        <v>0</v>
      </c>
      <c r="F132" s="69"/>
      <c r="G132" s="69"/>
      <c r="H132" s="69"/>
      <c r="I132" s="69"/>
      <c r="J132" s="69"/>
      <c r="K132" s="68">
        <f t="shared" si="33"/>
        <v>0</v>
      </c>
      <c r="L132" s="69"/>
      <c r="M132" s="69"/>
      <c r="N132" s="69"/>
      <c r="O132" s="69"/>
      <c r="P132" s="69"/>
      <c r="Q132" s="69"/>
      <c r="R132" s="69"/>
      <c r="S132" s="69"/>
      <c r="T132" s="68">
        <f t="shared" si="35"/>
        <v>0</v>
      </c>
      <c r="U132" s="69"/>
      <c r="V132" s="69"/>
      <c r="W132" s="69"/>
      <c r="X132" s="69"/>
      <c r="Y132" s="69"/>
      <c r="Z132" s="69"/>
    </row>
    <row r="133" spans="1:26" ht="26">
      <c r="A133" s="67" t="s">
        <v>434</v>
      </c>
      <c r="B133" s="67">
        <v>261.36</v>
      </c>
      <c r="C133" s="67" t="s">
        <v>649</v>
      </c>
      <c r="D133" s="68">
        <f t="shared" si="31"/>
        <v>35000</v>
      </c>
      <c r="E133" s="68">
        <f t="shared" si="32"/>
        <v>0</v>
      </c>
      <c r="F133" s="69"/>
      <c r="G133" s="69"/>
      <c r="H133" s="69"/>
      <c r="I133" s="69"/>
      <c r="J133" s="69"/>
      <c r="K133" s="68">
        <f t="shared" si="33"/>
        <v>0</v>
      </c>
      <c r="L133" s="69"/>
      <c r="M133" s="69"/>
      <c r="N133" s="69"/>
      <c r="O133" s="69"/>
      <c r="P133" s="69"/>
      <c r="Q133" s="69"/>
      <c r="R133" s="69"/>
      <c r="S133" s="69"/>
      <c r="T133" s="68">
        <f t="shared" si="35"/>
        <v>35000</v>
      </c>
      <c r="U133" s="69"/>
      <c r="V133" s="69"/>
      <c r="W133" s="69"/>
      <c r="X133" s="69"/>
      <c r="Y133" s="69">
        <v>35000</v>
      </c>
      <c r="Z133" s="69"/>
    </row>
    <row r="134" spans="1:26">
      <c r="A134" s="67"/>
      <c r="B134" s="67"/>
      <c r="C134" s="67"/>
      <c r="D134" s="68"/>
      <c r="E134" s="68"/>
      <c r="F134" s="69"/>
      <c r="G134" s="69"/>
      <c r="H134" s="69"/>
      <c r="I134" s="69"/>
      <c r="J134" s="69"/>
      <c r="K134" s="68"/>
      <c r="L134" s="69"/>
      <c r="M134" s="69"/>
      <c r="N134" s="69"/>
      <c r="O134" s="69"/>
      <c r="P134" s="69"/>
      <c r="Q134" s="69"/>
      <c r="R134" s="69"/>
      <c r="S134" s="69"/>
      <c r="T134" s="68"/>
      <c r="U134" s="69"/>
      <c r="V134" s="69"/>
      <c r="W134" s="69"/>
      <c r="X134" s="69"/>
      <c r="Y134" s="69"/>
      <c r="Z134" s="69"/>
    </row>
    <row r="135" spans="1:26" ht="26" hidden="1">
      <c r="A135" s="67" t="s">
        <v>435</v>
      </c>
      <c r="B135" s="67">
        <v>300</v>
      </c>
      <c r="C135" s="67" t="s">
        <v>312</v>
      </c>
      <c r="D135" s="68">
        <f>E135+K135+S135+T135</f>
        <v>0</v>
      </c>
      <c r="E135" s="68">
        <f>SUM(F135:J135)</f>
        <v>0</v>
      </c>
      <c r="F135" s="68"/>
      <c r="G135" s="68"/>
      <c r="H135" s="68"/>
      <c r="I135" s="68"/>
      <c r="J135" s="68"/>
      <c r="K135" s="68">
        <f>SUM(L135:R135)</f>
        <v>0</v>
      </c>
      <c r="L135" s="68"/>
      <c r="M135" s="68"/>
      <c r="N135" s="68"/>
      <c r="O135" s="68"/>
      <c r="P135" s="68"/>
      <c r="Q135" s="68"/>
      <c r="R135" s="68"/>
      <c r="S135" s="68"/>
      <c r="T135" s="68">
        <f>SUM(U135:Z135)</f>
        <v>0</v>
      </c>
      <c r="U135" s="68"/>
      <c r="V135" s="68"/>
      <c r="W135" s="68"/>
      <c r="X135" s="68"/>
      <c r="Y135" s="68"/>
      <c r="Z135" s="68"/>
    </row>
    <row r="136" spans="1:26" hidden="1">
      <c r="A136" s="67" t="s">
        <v>225</v>
      </c>
      <c r="B136" s="67"/>
      <c r="C136" s="67"/>
      <c r="D136" s="68"/>
      <c r="E136" s="68"/>
      <c r="F136" s="69"/>
      <c r="G136" s="69"/>
      <c r="H136" s="69"/>
      <c r="I136" s="69"/>
      <c r="J136" s="69"/>
      <c r="K136" s="68"/>
      <c r="L136" s="69"/>
      <c r="M136" s="69"/>
      <c r="N136" s="69"/>
      <c r="O136" s="69"/>
      <c r="P136" s="69"/>
      <c r="Q136" s="69"/>
      <c r="R136" s="69"/>
      <c r="S136" s="69"/>
      <c r="T136" s="68"/>
      <c r="U136" s="69"/>
      <c r="V136" s="69"/>
      <c r="W136" s="69"/>
      <c r="X136" s="69"/>
      <c r="Y136" s="69"/>
      <c r="Z136" s="69"/>
    </row>
    <row r="137" spans="1:26" hidden="1">
      <c r="A137" s="67" t="s">
        <v>436</v>
      </c>
      <c r="B137" s="67">
        <v>310</v>
      </c>
      <c r="C137" s="67">
        <v>510</v>
      </c>
      <c r="D137" s="68">
        <f>E137+K137+S137+T137</f>
        <v>0</v>
      </c>
      <c r="E137" s="68">
        <f>SUM(F137:J137)</f>
        <v>0</v>
      </c>
      <c r="F137" s="69"/>
      <c r="G137" s="69"/>
      <c r="H137" s="69"/>
      <c r="I137" s="69"/>
      <c r="J137" s="69"/>
      <c r="K137" s="68">
        <f>SUM(L137:R137)</f>
        <v>0</v>
      </c>
      <c r="L137" s="69"/>
      <c r="M137" s="69"/>
      <c r="N137" s="69"/>
      <c r="O137" s="69"/>
      <c r="P137" s="69"/>
      <c r="Q137" s="69"/>
      <c r="R137" s="69"/>
      <c r="S137" s="69"/>
      <c r="T137" s="68">
        <f>SUM(U137:Z137)</f>
        <v>0</v>
      </c>
      <c r="U137" s="69"/>
      <c r="V137" s="69"/>
      <c r="W137" s="69"/>
      <c r="X137" s="69"/>
      <c r="Y137" s="69"/>
      <c r="Z137" s="69"/>
    </row>
    <row r="138" spans="1:26" hidden="1">
      <c r="A138" s="67" t="s">
        <v>437</v>
      </c>
      <c r="B138" s="67">
        <v>320</v>
      </c>
      <c r="C138" s="67"/>
      <c r="D138" s="68">
        <f>E138+K138+S138+T138</f>
        <v>0</v>
      </c>
      <c r="E138" s="68">
        <f>SUM(F138:J138)</f>
        <v>0</v>
      </c>
      <c r="F138" s="69"/>
      <c r="G138" s="69"/>
      <c r="H138" s="69"/>
      <c r="I138" s="69"/>
      <c r="J138" s="69"/>
      <c r="K138" s="68">
        <f>SUM(L138:R138)</f>
        <v>0</v>
      </c>
      <c r="L138" s="69"/>
      <c r="M138" s="69"/>
      <c r="N138" s="69"/>
      <c r="O138" s="69"/>
      <c r="P138" s="69"/>
      <c r="Q138" s="69"/>
      <c r="R138" s="69"/>
      <c r="S138" s="69"/>
      <c r="T138" s="68">
        <f>SUM(U138:Z138)</f>
        <v>0</v>
      </c>
      <c r="U138" s="69"/>
      <c r="V138" s="69"/>
      <c r="W138" s="69"/>
      <c r="X138" s="69"/>
      <c r="Y138" s="69"/>
      <c r="Z138" s="69"/>
    </row>
    <row r="139" spans="1:26" ht="24.75" hidden="1" customHeight="1">
      <c r="A139" s="67" t="s">
        <v>438</v>
      </c>
      <c r="B139" s="67">
        <v>400</v>
      </c>
      <c r="C139" s="67">
        <v>600</v>
      </c>
      <c r="D139" s="68">
        <f>E139+K139+S139+T139</f>
        <v>0</v>
      </c>
      <c r="E139" s="68">
        <f>SUM(F139:J139)</f>
        <v>0</v>
      </c>
      <c r="F139" s="68"/>
      <c r="G139" s="68"/>
      <c r="H139" s="68"/>
      <c r="I139" s="68"/>
      <c r="J139" s="68"/>
      <c r="K139" s="68">
        <f>SUM(L139:R139)</f>
        <v>0</v>
      </c>
      <c r="L139" s="68"/>
      <c r="M139" s="68"/>
      <c r="N139" s="68"/>
      <c r="O139" s="68"/>
      <c r="P139" s="68"/>
      <c r="Q139" s="68"/>
      <c r="R139" s="68"/>
      <c r="S139" s="68"/>
      <c r="T139" s="68">
        <f>SUM(U139:Z139)</f>
        <v>0</v>
      </c>
      <c r="U139" s="68"/>
      <c r="V139" s="68"/>
      <c r="W139" s="68"/>
      <c r="X139" s="68"/>
      <c r="Y139" s="68"/>
      <c r="Z139" s="68"/>
    </row>
    <row r="140" spans="1:26" hidden="1">
      <c r="A140" s="67" t="s">
        <v>225</v>
      </c>
      <c r="B140" s="67"/>
      <c r="C140" s="67"/>
      <c r="D140" s="68"/>
      <c r="E140" s="68"/>
      <c r="F140" s="69"/>
      <c r="G140" s="69"/>
      <c r="H140" s="69"/>
      <c r="I140" s="69"/>
      <c r="J140" s="69"/>
      <c r="K140" s="68"/>
      <c r="L140" s="69"/>
      <c r="M140" s="69"/>
      <c r="N140" s="69"/>
      <c r="O140" s="69"/>
      <c r="P140" s="69"/>
      <c r="Q140" s="69"/>
      <c r="R140" s="69"/>
      <c r="S140" s="69"/>
      <c r="T140" s="68"/>
      <c r="U140" s="69"/>
      <c r="V140" s="69"/>
      <c r="W140" s="69"/>
      <c r="X140" s="69"/>
      <c r="Y140" s="69"/>
      <c r="Z140" s="69"/>
    </row>
    <row r="141" spans="1:26" hidden="1">
      <c r="A141" s="67" t="s">
        <v>439</v>
      </c>
      <c r="B141" s="67">
        <v>410</v>
      </c>
      <c r="C141" s="67">
        <v>610</v>
      </c>
      <c r="D141" s="68">
        <f>E141+K141+S141+T141</f>
        <v>0</v>
      </c>
      <c r="E141" s="68">
        <f>SUM(F141:J141)</f>
        <v>0</v>
      </c>
      <c r="F141" s="69"/>
      <c r="G141" s="69"/>
      <c r="H141" s="69"/>
      <c r="I141" s="69"/>
      <c r="J141" s="69"/>
      <c r="K141" s="68">
        <f>SUM(L141:R141)</f>
        <v>0</v>
      </c>
      <c r="L141" s="69"/>
      <c r="M141" s="69"/>
      <c r="N141" s="69"/>
      <c r="O141" s="69"/>
      <c r="P141" s="69"/>
      <c r="Q141" s="69"/>
      <c r="R141" s="69"/>
      <c r="S141" s="69"/>
      <c r="T141" s="68">
        <f>SUM(U141:Z141)</f>
        <v>0</v>
      </c>
      <c r="U141" s="69"/>
      <c r="V141" s="69"/>
      <c r="W141" s="69"/>
      <c r="X141" s="69"/>
      <c r="Y141" s="69"/>
      <c r="Z141" s="69"/>
    </row>
    <row r="142" spans="1:26" hidden="1">
      <c r="A142" s="67" t="s">
        <v>440</v>
      </c>
      <c r="B142" s="67">
        <v>420</v>
      </c>
      <c r="C142" s="67"/>
      <c r="D142" s="68">
        <f>E142+K142+S142+T142</f>
        <v>0</v>
      </c>
      <c r="E142" s="68">
        <f>SUM(F142:J142)</f>
        <v>0</v>
      </c>
      <c r="F142" s="69"/>
      <c r="G142" s="69"/>
      <c r="H142" s="69"/>
      <c r="I142" s="69"/>
      <c r="J142" s="69"/>
      <c r="K142" s="68">
        <f>SUM(L142:R142)</f>
        <v>0</v>
      </c>
      <c r="L142" s="69"/>
      <c r="M142" s="69"/>
      <c r="N142" s="69"/>
      <c r="O142" s="69"/>
      <c r="P142" s="69"/>
      <c r="Q142" s="69"/>
      <c r="R142" s="69"/>
      <c r="S142" s="69"/>
      <c r="T142" s="68">
        <f>SUM(U142:Z142)</f>
        <v>0</v>
      </c>
      <c r="U142" s="69"/>
      <c r="V142" s="69"/>
      <c r="W142" s="69"/>
      <c r="X142" s="69"/>
      <c r="Y142" s="69"/>
      <c r="Z142" s="69"/>
    </row>
    <row r="143" spans="1:26">
      <c r="A143" s="67" t="s">
        <v>441</v>
      </c>
      <c r="B143" s="67">
        <v>500</v>
      </c>
      <c r="C143" s="67" t="s">
        <v>340</v>
      </c>
      <c r="D143" s="68">
        <f>E143+K143+S143+T143</f>
        <v>161020.35999999999</v>
      </c>
      <c r="E143" s="68">
        <f>SUM(F143:J143)</f>
        <v>0</v>
      </c>
      <c r="F143" s="69"/>
      <c r="G143" s="69"/>
      <c r="H143" s="69"/>
      <c r="I143" s="69"/>
      <c r="J143" s="69"/>
      <c r="K143" s="68">
        <f>SUM(L143:R143)</f>
        <v>161020.35999999999</v>
      </c>
      <c r="L143" s="69">
        <v>161019.56</v>
      </c>
      <c r="M143" s="69"/>
      <c r="N143" s="69"/>
      <c r="O143" s="69"/>
      <c r="P143" s="69"/>
      <c r="Q143" s="69"/>
      <c r="R143" s="69">
        <v>0.8</v>
      </c>
      <c r="S143" s="69"/>
      <c r="T143" s="68">
        <f>SUM(U143:Z143)</f>
        <v>0</v>
      </c>
      <c r="U143" s="69"/>
      <c r="V143" s="69"/>
      <c r="W143" s="69"/>
      <c r="X143" s="69"/>
      <c r="Y143" s="69"/>
      <c r="Z143" s="69"/>
    </row>
    <row r="144" spans="1:26">
      <c r="A144" s="67" t="s">
        <v>442</v>
      </c>
      <c r="B144" s="67">
        <v>600</v>
      </c>
      <c r="C144" s="67" t="s">
        <v>340</v>
      </c>
      <c r="D144" s="68">
        <f>E144+K144+S144+T144</f>
        <v>0</v>
      </c>
      <c r="E144" s="68">
        <f>SUM(F144:J144)</f>
        <v>0</v>
      </c>
      <c r="F144" s="69">
        <v>0</v>
      </c>
      <c r="G144" s="69">
        <v>0</v>
      </c>
      <c r="H144" s="69">
        <v>0</v>
      </c>
      <c r="I144" s="69">
        <v>0</v>
      </c>
      <c r="J144" s="69">
        <v>0</v>
      </c>
      <c r="K144" s="68">
        <f>SUM(L144:R144)</f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69">
        <v>0</v>
      </c>
      <c r="S144" s="69">
        <v>0</v>
      </c>
      <c r="T144" s="68">
        <f>SUM(U144:Z144)</f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</row>
    <row r="146" spans="8:8">
      <c r="H146" s="89"/>
    </row>
    <row r="147" spans="8:8">
      <c r="H147" s="90"/>
    </row>
  </sheetData>
  <autoFilter ref="A9:Z144"/>
  <mergeCells count="12">
    <mergeCell ref="D6:D8"/>
    <mergeCell ref="E6:Z6"/>
    <mergeCell ref="E7:J7"/>
    <mergeCell ref="K7:R7"/>
    <mergeCell ref="S7:S8"/>
    <mergeCell ref="T7:Z7"/>
    <mergeCell ref="A2:J2"/>
    <mergeCell ref="A3:J3"/>
    <mergeCell ref="A5:A8"/>
    <mergeCell ref="B5:B8"/>
    <mergeCell ref="C5:C8"/>
    <mergeCell ref="D5:Z5"/>
  </mergeCells>
  <phoneticPr fontId="0" type="noConversion"/>
  <pageMargins left="0" right="0" top="0.78740157480314965" bottom="0.39370078740157483" header="0.31496062992125984" footer="0.31496062992125984"/>
  <pageSetup paperSize="9"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L20"/>
  <sheetViews>
    <sheetView zoomScaleNormal="100" workbookViewId="0">
      <selection activeCell="E14" sqref="E14"/>
    </sheetView>
  </sheetViews>
  <sheetFormatPr defaultRowHeight="14.5"/>
  <cols>
    <col min="1" max="1" width="35.1796875" bestFit="1" customWidth="1"/>
    <col min="2" max="2" width="9.1796875" style="5" customWidth="1"/>
    <col min="4" max="4" width="15.54296875" customWidth="1"/>
    <col min="5" max="6" width="14.54296875" customWidth="1"/>
    <col min="7" max="9" width="13.1796875" bestFit="1" customWidth="1"/>
    <col min="10" max="12" width="10.1796875" bestFit="1" customWidth="1"/>
  </cols>
  <sheetData>
    <row r="2" spans="1:12" ht="15.5">
      <c r="A2" s="228" t="s">
        <v>463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</row>
    <row r="3" spans="1:12" ht="15.5">
      <c r="A3" s="228" t="s">
        <v>464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</row>
    <row r="4" spans="1:12" ht="15.5">
      <c r="A4" s="251" t="s">
        <v>215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</row>
    <row r="6" spans="1:12" ht="30" customHeight="1">
      <c r="A6" s="250" t="s">
        <v>223</v>
      </c>
      <c r="B6" s="253" t="s">
        <v>444</v>
      </c>
      <c r="C6" s="250" t="s">
        <v>457</v>
      </c>
      <c r="D6" s="250" t="s">
        <v>458</v>
      </c>
      <c r="E6" s="250"/>
      <c r="F6" s="250"/>
      <c r="G6" s="250"/>
      <c r="H6" s="250"/>
      <c r="I6" s="250"/>
      <c r="J6" s="250"/>
      <c r="K6" s="250"/>
      <c r="L6" s="250"/>
    </row>
    <row r="7" spans="1:12">
      <c r="A7" s="250"/>
      <c r="B7" s="253"/>
      <c r="C7" s="250"/>
      <c r="D7" s="250" t="s">
        <v>459</v>
      </c>
      <c r="E7" s="250"/>
      <c r="F7" s="250"/>
      <c r="G7" s="250" t="s">
        <v>227</v>
      </c>
      <c r="H7" s="250"/>
      <c r="I7" s="250"/>
      <c r="J7" s="250"/>
      <c r="K7" s="250"/>
      <c r="L7" s="250"/>
    </row>
    <row r="8" spans="1:12" ht="78" customHeight="1">
      <c r="A8" s="250"/>
      <c r="B8" s="253"/>
      <c r="C8" s="250"/>
      <c r="D8" s="250"/>
      <c r="E8" s="250"/>
      <c r="F8" s="250"/>
      <c r="G8" s="250" t="s">
        <v>460</v>
      </c>
      <c r="H8" s="250"/>
      <c r="I8" s="250"/>
      <c r="J8" s="250" t="s">
        <v>461</v>
      </c>
      <c r="K8" s="250"/>
      <c r="L8" s="250"/>
    </row>
    <row r="9" spans="1:12" ht="46">
      <c r="A9" s="250"/>
      <c r="B9" s="253"/>
      <c r="C9" s="250"/>
      <c r="D9" s="35" t="s">
        <v>617</v>
      </c>
      <c r="E9" s="35" t="s">
        <v>618</v>
      </c>
      <c r="F9" s="35" t="s">
        <v>619</v>
      </c>
      <c r="G9" s="35" t="s">
        <v>617</v>
      </c>
      <c r="H9" s="35" t="s">
        <v>618</v>
      </c>
      <c r="I9" s="35" t="s">
        <v>619</v>
      </c>
      <c r="J9" s="35" t="s">
        <v>617</v>
      </c>
      <c r="K9" s="35" t="s">
        <v>618</v>
      </c>
      <c r="L9" s="35" t="s">
        <v>619</v>
      </c>
    </row>
    <row r="10" spans="1:12">
      <c r="A10" s="11">
        <v>1</v>
      </c>
      <c r="B10" s="11">
        <v>2</v>
      </c>
      <c r="C10" s="11">
        <v>3</v>
      </c>
      <c r="D10" s="12">
        <v>4</v>
      </c>
      <c r="E10" s="11">
        <v>5</v>
      </c>
      <c r="F10" s="11">
        <v>6</v>
      </c>
      <c r="G10" s="11">
        <v>7</v>
      </c>
      <c r="H10" s="12">
        <v>8</v>
      </c>
      <c r="I10" s="11">
        <v>9</v>
      </c>
      <c r="J10" s="11">
        <v>10</v>
      </c>
      <c r="K10" s="11">
        <v>11</v>
      </c>
      <c r="L10" s="12">
        <v>12</v>
      </c>
    </row>
    <row r="11" spans="1:12" ht="40" customHeight="1">
      <c r="A11" s="4" t="s">
        <v>453</v>
      </c>
      <c r="B11" s="6" t="s">
        <v>462</v>
      </c>
      <c r="C11" s="3" t="s">
        <v>340</v>
      </c>
      <c r="D11" s="185">
        <f>D12+D14</f>
        <v>2688727.1199999996</v>
      </c>
      <c r="E11" s="185">
        <f>E12+E14</f>
        <v>2041700</v>
      </c>
      <c r="F11" s="185">
        <f>F12+F14</f>
        <v>2184100</v>
      </c>
      <c r="G11" s="185">
        <f t="shared" ref="G11:L11" si="0">G12+G14</f>
        <v>2653071.3199999998</v>
      </c>
      <c r="H11" s="185">
        <f t="shared" si="0"/>
        <v>2006700</v>
      </c>
      <c r="I11" s="185">
        <f t="shared" si="0"/>
        <v>2149100</v>
      </c>
      <c r="J11" s="185">
        <f t="shared" si="0"/>
        <v>35655.800000000003</v>
      </c>
      <c r="K11" s="185">
        <f t="shared" si="0"/>
        <v>35000</v>
      </c>
      <c r="L11" s="185">
        <f t="shared" si="0"/>
        <v>35000</v>
      </c>
    </row>
    <row r="12" spans="1:12" ht="60" customHeight="1">
      <c r="A12" s="8" t="s">
        <v>454</v>
      </c>
      <c r="B12" s="6">
        <v>1001</v>
      </c>
      <c r="C12" s="3" t="s">
        <v>340</v>
      </c>
      <c r="D12" s="185">
        <f>G12+J12</f>
        <v>0</v>
      </c>
      <c r="E12" s="185">
        <f>H12+K12</f>
        <v>0</v>
      </c>
      <c r="F12" s="185">
        <f>I12+L12</f>
        <v>0</v>
      </c>
      <c r="G12" s="7"/>
      <c r="H12" s="7"/>
      <c r="I12" s="7"/>
      <c r="J12" s="7"/>
      <c r="K12" s="7"/>
      <c r="L12" s="7"/>
    </row>
    <row r="13" spans="1:12" ht="20.149999999999999" customHeight="1">
      <c r="A13" s="8" t="s">
        <v>455</v>
      </c>
      <c r="B13" s="6" t="s">
        <v>455</v>
      </c>
      <c r="C13" s="3" t="s">
        <v>340</v>
      </c>
      <c r="D13" s="186"/>
      <c r="E13" s="186"/>
      <c r="F13" s="186"/>
      <c r="G13" s="7"/>
      <c r="H13" s="7"/>
      <c r="I13" s="7"/>
      <c r="J13" s="7"/>
      <c r="K13" s="7"/>
      <c r="L13" s="7"/>
    </row>
    <row r="14" spans="1:12" ht="40" customHeight="1">
      <c r="A14" s="4" t="s">
        <v>456</v>
      </c>
      <c r="B14" s="6">
        <v>2001</v>
      </c>
      <c r="C14" s="3"/>
      <c r="D14" s="185">
        <f>G14+J14</f>
        <v>2688727.1199999996</v>
      </c>
      <c r="E14" s="185">
        <f>H14+K14</f>
        <v>2041700</v>
      </c>
      <c r="F14" s="185">
        <f>I14+L14</f>
        <v>2184100</v>
      </c>
      <c r="G14" s="187">
        <f ca="1">'р.3 2017'!E96+'р.3 2017'!K96</f>
        <v>2653071.3199999998</v>
      </c>
      <c r="H14" s="187">
        <f ca="1">'р.3 2018'!E94+'р.3 2018'!K94</f>
        <v>2006700</v>
      </c>
      <c r="I14" s="187">
        <f ca="1">'р.3 2019'!E94+'р.3 2019'!K94</f>
        <v>2149100</v>
      </c>
      <c r="J14" s="187">
        <f ca="1">'р.3 2017'!T96</f>
        <v>35655.800000000003</v>
      </c>
      <c r="K14" s="187">
        <f ca="1">'р.3 2018'!T94</f>
        <v>35000</v>
      </c>
      <c r="L14" s="187">
        <f ca="1">'р.3 2019'!T94</f>
        <v>35000</v>
      </c>
    </row>
    <row r="15" spans="1:12" ht="20.149999999999999" customHeight="1">
      <c r="A15" s="8" t="s">
        <v>455</v>
      </c>
      <c r="B15" s="6" t="s">
        <v>455</v>
      </c>
      <c r="C15" s="3"/>
      <c r="D15" s="7"/>
      <c r="E15" s="7"/>
      <c r="F15" s="7"/>
      <c r="G15" s="187"/>
      <c r="H15" s="187"/>
      <c r="I15" s="187"/>
      <c r="J15" s="187"/>
      <c r="K15" s="187"/>
      <c r="L15" s="187"/>
    </row>
    <row r="20" spans="1:12" ht="30.65" customHeight="1">
      <c r="A20" s="252" t="s">
        <v>712</v>
      </c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</row>
  </sheetData>
  <mergeCells count="12">
    <mergeCell ref="G7:L7"/>
    <mergeCell ref="G8:I8"/>
    <mergeCell ref="J8:L8"/>
    <mergeCell ref="A4:L4"/>
    <mergeCell ref="A20:L20"/>
    <mergeCell ref="A2:L2"/>
    <mergeCell ref="A3:L3"/>
    <mergeCell ref="A6:A9"/>
    <mergeCell ref="B6:B9"/>
    <mergeCell ref="C6:C9"/>
    <mergeCell ref="D6:L6"/>
    <mergeCell ref="D7:F8"/>
  </mergeCells>
  <phoneticPr fontId="0" type="noConversion"/>
  <pageMargins left="0.47244094488188981" right="0.47244094488188981" top="0.86614173228346458" bottom="0.47244094488188981" header="0.19685039370078741" footer="0.19685039370078741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K287"/>
  <sheetViews>
    <sheetView tabSelected="1" workbookViewId="0">
      <selection activeCell="B1" sqref="B1"/>
    </sheetView>
  </sheetViews>
  <sheetFormatPr defaultRowHeight="14.5"/>
  <cols>
    <col min="1" max="1" width="1.7265625" customWidth="1"/>
    <col min="2" max="2" width="39.7265625" customWidth="1"/>
    <col min="3" max="3" width="10.7265625" customWidth="1"/>
    <col min="4" max="4" width="34.453125" customWidth="1"/>
  </cols>
  <sheetData>
    <row r="1" spans="2:4">
      <c r="B1" s="13"/>
      <c r="C1" s="13"/>
      <c r="D1" s="13"/>
    </row>
    <row r="2" spans="2:4" ht="15.5">
      <c r="B2" s="237" t="s">
        <v>465</v>
      </c>
      <c r="C2" s="237"/>
      <c r="D2" s="237"/>
    </row>
    <row r="3" spans="2:4" ht="15.5">
      <c r="B3" s="237" t="s">
        <v>466</v>
      </c>
      <c r="C3" s="237"/>
      <c r="D3" s="237"/>
    </row>
    <row r="4" spans="2:4" ht="15.5">
      <c r="B4" s="237" t="s">
        <v>203</v>
      </c>
      <c r="C4" s="237"/>
      <c r="D4" s="237"/>
    </row>
    <row r="5" spans="2:4" ht="15.5">
      <c r="B5" s="237" t="s">
        <v>467</v>
      </c>
      <c r="C5" s="237"/>
      <c r="D5" s="237"/>
    </row>
    <row r="6" spans="2:4">
      <c r="B6" s="1"/>
      <c r="C6" s="13"/>
      <c r="D6" s="13"/>
    </row>
    <row r="7" spans="2:4" ht="28">
      <c r="B7" s="33" t="s">
        <v>223</v>
      </c>
      <c r="C7" s="33" t="s">
        <v>444</v>
      </c>
      <c r="D7" s="33" t="s">
        <v>468</v>
      </c>
    </row>
    <row r="8" spans="2:4">
      <c r="B8" s="33">
        <v>1</v>
      </c>
      <c r="C8" s="33">
        <v>2</v>
      </c>
      <c r="D8" s="33">
        <v>3</v>
      </c>
    </row>
    <row r="9" spans="2:4">
      <c r="B9" s="34" t="s">
        <v>441</v>
      </c>
      <c r="C9" s="33">
        <v>10</v>
      </c>
      <c r="D9" s="34"/>
    </row>
    <row r="10" spans="2:4">
      <c r="B10" s="34" t="s">
        <v>442</v>
      </c>
      <c r="C10" s="33">
        <v>20</v>
      </c>
      <c r="D10" s="34"/>
    </row>
    <row r="11" spans="2:4">
      <c r="B11" s="34" t="s">
        <v>469</v>
      </c>
      <c r="C11" s="33">
        <v>30</v>
      </c>
      <c r="D11" s="34"/>
    </row>
    <row r="12" spans="2:4">
      <c r="B12" s="34"/>
      <c r="C12" s="34"/>
      <c r="D12" s="34"/>
    </row>
    <row r="13" spans="2:4">
      <c r="B13" s="34" t="s">
        <v>470</v>
      </c>
      <c r="C13" s="33">
        <v>40</v>
      </c>
      <c r="D13" s="34"/>
    </row>
    <row r="14" spans="2:4">
      <c r="B14" s="34"/>
      <c r="C14" s="34"/>
      <c r="D14" s="34"/>
    </row>
    <row r="15" spans="2:4">
      <c r="B15" s="1"/>
      <c r="C15" s="13"/>
      <c r="D15" s="13"/>
    </row>
    <row r="16" spans="2:4" ht="15.5">
      <c r="B16" s="15" t="s">
        <v>471</v>
      </c>
      <c r="C16" s="15"/>
      <c r="D16" s="15"/>
    </row>
    <row r="17" spans="2:4">
      <c r="B17" s="1"/>
      <c r="C17" s="13"/>
      <c r="D17" s="13"/>
    </row>
    <row r="18" spans="2:4">
      <c r="B18" s="33" t="s">
        <v>223</v>
      </c>
      <c r="C18" s="33" t="s">
        <v>444</v>
      </c>
      <c r="D18" s="33" t="s">
        <v>472</v>
      </c>
    </row>
    <row r="19" spans="2:4">
      <c r="B19" s="33">
        <v>1</v>
      </c>
      <c r="C19" s="33">
        <v>2</v>
      </c>
      <c r="D19" s="33">
        <v>3</v>
      </c>
    </row>
    <row r="20" spans="2:4">
      <c r="B20" s="34" t="s">
        <v>473</v>
      </c>
      <c r="C20" s="33">
        <v>10</v>
      </c>
      <c r="D20" s="34"/>
    </row>
    <row r="21" spans="2:4" ht="59.5" customHeight="1">
      <c r="B21" s="34" t="s">
        <v>474</v>
      </c>
      <c r="C21" s="33">
        <v>20</v>
      </c>
      <c r="D21" s="34"/>
    </row>
    <row r="22" spans="2:4">
      <c r="B22" s="1"/>
      <c r="C22" s="13"/>
      <c r="D22" s="13"/>
    </row>
    <row r="23" spans="2:4" ht="15.5">
      <c r="B23" s="255" t="s">
        <v>475</v>
      </c>
      <c r="C23" s="255"/>
      <c r="D23" s="255"/>
    </row>
    <row r="24" spans="2:4" ht="15.5">
      <c r="B24" s="255" t="s">
        <v>476</v>
      </c>
      <c r="C24" s="255"/>
      <c r="D24" s="255"/>
    </row>
    <row r="25" spans="2:4" ht="15.5">
      <c r="B25" s="255" t="s">
        <v>721</v>
      </c>
      <c r="C25" s="255"/>
      <c r="D25" s="255"/>
    </row>
    <row r="26" spans="2:4" ht="15.5">
      <c r="B26" s="255" t="s">
        <v>477</v>
      </c>
      <c r="C26" s="255"/>
      <c r="D26" s="255"/>
    </row>
    <row r="27" spans="2:4" ht="15.5" hidden="1">
      <c r="B27" s="255" t="s">
        <v>478</v>
      </c>
      <c r="C27" s="255"/>
      <c r="D27" s="255"/>
    </row>
    <row r="28" spans="2:4" ht="15.5" hidden="1">
      <c r="B28" s="255" t="s">
        <v>479</v>
      </c>
      <c r="C28" s="255"/>
      <c r="D28" s="255"/>
    </row>
    <row r="29" spans="2:4" ht="15.5" hidden="1">
      <c r="B29" s="255" t="s">
        <v>480</v>
      </c>
      <c r="C29" s="255"/>
      <c r="D29" s="255"/>
    </row>
    <row r="30" spans="2:4" ht="15.5" hidden="1">
      <c r="B30" s="255" t="s">
        <v>477</v>
      </c>
      <c r="C30" s="255"/>
      <c r="D30" s="255"/>
    </row>
    <row r="31" spans="2:4" ht="22.5" customHeight="1">
      <c r="B31" s="255" t="s">
        <v>481</v>
      </c>
      <c r="C31" s="255"/>
      <c r="D31" s="255"/>
    </row>
    <row r="32" spans="2:4" ht="15.5">
      <c r="B32" s="255" t="s">
        <v>730</v>
      </c>
      <c r="C32" s="255"/>
      <c r="D32" s="255"/>
    </row>
    <row r="33" spans="2:4" ht="15.5">
      <c r="B33" s="255" t="s">
        <v>477</v>
      </c>
      <c r="C33" s="255"/>
      <c r="D33" s="255"/>
    </row>
    <row r="34" spans="2:4" ht="15.5">
      <c r="B34" s="16"/>
      <c r="C34" s="17"/>
      <c r="D34" s="17"/>
    </row>
    <row r="35" spans="2:4" ht="15.5">
      <c r="B35" s="255" t="s">
        <v>731</v>
      </c>
      <c r="C35" s="255"/>
      <c r="D35" s="255"/>
    </row>
    <row r="36" spans="2:4" ht="15.5">
      <c r="B36" s="255" t="s">
        <v>496</v>
      </c>
      <c r="C36" s="255"/>
      <c r="D36" s="255"/>
    </row>
    <row r="37" spans="2:4" ht="15.5">
      <c r="B37" s="255" t="s">
        <v>495</v>
      </c>
      <c r="C37" s="255"/>
      <c r="D37" s="255"/>
    </row>
    <row r="38" spans="2:4" ht="15.5">
      <c r="B38" s="16"/>
      <c r="C38" s="17"/>
      <c r="D38" s="17"/>
    </row>
    <row r="39" spans="2:4" ht="15.5">
      <c r="B39" s="16" t="s">
        <v>482</v>
      </c>
      <c r="C39" s="17"/>
      <c r="D39" s="17"/>
    </row>
    <row r="40" spans="2:4">
      <c r="B40" s="18"/>
      <c r="C40" s="13"/>
      <c r="D40" s="13"/>
    </row>
    <row r="41" spans="2:4">
      <c r="B41" s="258" t="s">
        <v>483</v>
      </c>
      <c r="C41" s="258"/>
      <c r="D41" s="258"/>
    </row>
    <row r="42" spans="2:4">
      <c r="B42" s="19"/>
      <c r="C42" s="13"/>
      <c r="D42" s="13"/>
    </row>
    <row r="43" spans="2:4">
      <c r="B43" s="19"/>
      <c r="C43" s="13"/>
      <c r="D43" s="13"/>
    </row>
    <row r="44" spans="2:4">
      <c r="B44" s="19"/>
      <c r="C44" s="13"/>
      <c r="D44" s="13"/>
    </row>
    <row r="45" spans="2:4">
      <c r="B45" s="19"/>
      <c r="C45" s="13"/>
      <c r="D45" s="13"/>
    </row>
    <row r="47" spans="2:4" s="20" customFormat="1">
      <c r="B47" s="21"/>
    </row>
    <row r="48" spans="2:4" s="20" customFormat="1">
      <c r="B48" s="21"/>
    </row>
    <row r="49" spans="2:2" s="20" customFormat="1">
      <c r="B49" s="21"/>
    </row>
    <row r="50" spans="2:2" s="20" customFormat="1">
      <c r="B50" s="21"/>
    </row>
    <row r="51" spans="2:2" s="20" customFormat="1">
      <c r="B51" s="21"/>
    </row>
    <row r="52" spans="2:2" s="20" customFormat="1">
      <c r="B52" s="21"/>
    </row>
    <row r="53" spans="2:2" s="20" customFormat="1">
      <c r="B53" s="21"/>
    </row>
    <row r="54" spans="2:2" s="20" customFormat="1">
      <c r="B54" s="21"/>
    </row>
    <row r="55" spans="2:2" s="20" customFormat="1">
      <c r="B55" s="21"/>
    </row>
    <row r="56" spans="2:2" s="20" customFormat="1">
      <c r="B56" s="21"/>
    </row>
    <row r="57" spans="2:2" s="20" customFormat="1" ht="15.5">
      <c r="B57" s="14"/>
    </row>
    <row r="58" spans="2:2" s="20" customFormat="1" ht="15.5">
      <c r="B58" s="14"/>
    </row>
    <row r="59" spans="2:2" s="20" customFormat="1" ht="15.5">
      <c r="B59" s="14"/>
    </row>
    <row r="60" spans="2:2" s="20" customFormat="1" ht="15.5">
      <c r="B60" s="22"/>
    </row>
    <row r="61" spans="2:2" s="20" customFormat="1" ht="15.5">
      <c r="B61" s="22"/>
    </row>
    <row r="62" spans="2:2" s="20" customFormat="1" ht="15.5">
      <c r="B62" s="22"/>
    </row>
    <row r="63" spans="2:2" s="20" customFormat="1" ht="15.5">
      <c r="B63" s="22"/>
    </row>
    <row r="64" spans="2:2" s="20" customFormat="1" ht="15.5">
      <c r="B64" s="22"/>
    </row>
    <row r="65" spans="2:11" s="20" customFormat="1" ht="15.5">
      <c r="B65" s="22"/>
    </row>
    <row r="66" spans="2:11" s="20" customFormat="1" ht="15.5">
      <c r="B66" s="22"/>
    </row>
    <row r="67" spans="2:11" s="20" customFormat="1" ht="15.5">
      <c r="B67" s="22"/>
    </row>
    <row r="68" spans="2:11" s="20" customFormat="1" ht="30" customHeight="1">
      <c r="B68" s="254"/>
      <c r="C68" s="254"/>
      <c r="D68" s="254"/>
      <c r="E68" s="254"/>
      <c r="F68" s="254"/>
      <c r="G68" s="254"/>
      <c r="H68" s="254"/>
      <c r="I68" s="254"/>
      <c r="J68" s="254"/>
      <c r="K68" s="254"/>
    </row>
    <row r="69" spans="2:11" s="20" customFormat="1">
      <c r="B69" s="254"/>
      <c r="C69" s="254"/>
      <c r="D69" s="254"/>
      <c r="E69" s="254"/>
      <c r="F69" s="254"/>
      <c r="G69" s="254"/>
      <c r="H69" s="254"/>
      <c r="I69" s="254"/>
      <c r="J69" s="254"/>
      <c r="K69" s="254"/>
    </row>
    <row r="70" spans="2:11" s="20" customFormat="1">
      <c r="B70" s="254"/>
      <c r="C70" s="254"/>
      <c r="D70" s="254"/>
      <c r="E70" s="254"/>
      <c r="F70" s="23"/>
      <c r="G70" s="23"/>
      <c r="H70" s="23"/>
      <c r="I70" s="254"/>
      <c r="J70" s="254"/>
      <c r="K70" s="254"/>
    </row>
    <row r="71" spans="2:11" s="20" customFormat="1">
      <c r="B71" s="23"/>
      <c r="C71" s="23"/>
      <c r="D71" s="23"/>
      <c r="E71" s="23"/>
      <c r="F71" s="23"/>
      <c r="G71" s="23"/>
      <c r="H71" s="23"/>
      <c r="I71" s="23"/>
      <c r="J71" s="23"/>
      <c r="K71" s="23"/>
    </row>
    <row r="72" spans="2:11" s="20" customFormat="1">
      <c r="B72" s="23"/>
      <c r="C72" s="23"/>
      <c r="D72" s="23"/>
      <c r="E72" s="23"/>
      <c r="F72" s="23"/>
      <c r="G72" s="23"/>
      <c r="H72" s="23"/>
      <c r="I72" s="23"/>
      <c r="J72" s="23"/>
      <c r="K72" s="23"/>
    </row>
    <row r="73" spans="2:11" s="20" customFormat="1">
      <c r="B73" s="23"/>
      <c r="C73" s="23"/>
      <c r="D73" s="23"/>
      <c r="E73" s="23"/>
      <c r="F73" s="23"/>
      <c r="G73" s="23"/>
      <c r="H73" s="23"/>
      <c r="I73" s="23"/>
      <c r="J73" s="23"/>
      <c r="K73" s="23"/>
    </row>
    <row r="74" spans="2:11" s="20" customFormat="1">
      <c r="B74" s="23"/>
      <c r="C74" s="23"/>
      <c r="D74" s="23"/>
      <c r="E74" s="23"/>
      <c r="F74" s="23"/>
      <c r="G74" s="23"/>
      <c r="H74" s="23"/>
      <c r="I74" s="23"/>
      <c r="J74" s="23"/>
      <c r="K74" s="23"/>
    </row>
    <row r="75" spans="2:11" s="20" customFormat="1">
      <c r="B75" s="257"/>
      <c r="C75" s="257"/>
      <c r="D75" s="24"/>
      <c r="E75" s="24"/>
      <c r="F75" s="24"/>
      <c r="G75" s="24"/>
      <c r="H75" s="24"/>
      <c r="I75" s="25"/>
      <c r="J75" s="24"/>
      <c r="K75" s="24"/>
    </row>
    <row r="76" spans="2:11" s="20" customFormat="1">
      <c r="B76" s="26"/>
    </row>
    <row r="77" spans="2:11" s="20" customFormat="1" ht="15.5">
      <c r="B77" s="14"/>
    </row>
    <row r="78" spans="2:11" s="20" customFormat="1" ht="15.5">
      <c r="B78" s="14"/>
    </row>
    <row r="79" spans="2:11" s="20" customFormat="1">
      <c r="B79" s="26"/>
    </row>
    <row r="80" spans="2:11" s="20" customFormat="1">
      <c r="B80" s="23"/>
      <c r="C80" s="23"/>
      <c r="D80" s="23"/>
      <c r="E80" s="23"/>
      <c r="F80" s="23"/>
      <c r="G80" s="23"/>
    </row>
    <row r="81" spans="2:7" s="20" customFormat="1">
      <c r="B81" s="23"/>
      <c r="C81" s="23"/>
      <c r="D81" s="23"/>
      <c r="E81" s="23"/>
      <c r="F81" s="23"/>
      <c r="G81" s="23"/>
    </row>
    <row r="82" spans="2:7" s="20" customFormat="1">
      <c r="B82" s="23"/>
      <c r="C82" s="23"/>
      <c r="D82" s="23"/>
      <c r="E82" s="23"/>
      <c r="F82" s="23"/>
      <c r="G82" s="23"/>
    </row>
    <row r="83" spans="2:7" s="20" customFormat="1">
      <c r="B83" s="23"/>
      <c r="C83" s="23"/>
      <c r="D83" s="23"/>
      <c r="E83" s="23"/>
      <c r="F83" s="23"/>
      <c r="G83" s="23"/>
    </row>
    <row r="84" spans="2:7" s="20" customFormat="1">
      <c r="B84" s="23"/>
      <c r="C84" s="27"/>
      <c r="D84" s="23"/>
      <c r="E84" s="23"/>
      <c r="F84" s="23"/>
      <c r="G84" s="23"/>
    </row>
    <row r="85" spans="2:7" s="20" customFormat="1">
      <c r="B85" s="26"/>
    </row>
    <row r="86" spans="2:7" s="20" customFormat="1" ht="15.5">
      <c r="B86" s="14"/>
    </row>
    <row r="87" spans="2:7" s="20" customFormat="1" ht="15.5">
      <c r="B87" s="14"/>
    </row>
    <row r="88" spans="2:7" s="20" customFormat="1" ht="15.5">
      <c r="B88" s="14"/>
    </row>
    <row r="89" spans="2:7" s="20" customFormat="1" ht="15.5">
      <c r="B89" s="14"/>
    </row>
    <row r="90" spans="2:7" s="20" customFormat="1" ht="15.5">
      <c r="B90" s="14"/>
    </row>
    <row r="91" spans="2:7" s="20" customFormat="1" ht="15.5">
      <c r="B91" s="14"/>
    </row>
    <row r="92" spans="2:7" s="20" customFormat="1" ht="15.5">
      <c r="B92" s="14"/>
    </row>
    <row r="93" spans="2:7" s="20" customFormat="1">
      <c r="B93" s="26"/>
    </row>
    <row r="94" spans="2:7" s="20" customFormat="1">
      <c r="B94" s="23"/>
      <c r="C94" s="23"/>
      <c r="D94" s="23"/>
      <c r="E94" s="23"/>
      <c r="F94" s="23"/>
      <c r="G94" s="23"/>
    </row>
    <row r="95" spans="2:7" s="20" customFormat="1">
      <c r="B95" s="23"/>
      <c r="C95" s="23"/>
      <c r="D95" s="23"/>
      <c r="E95" s="23"/>
      <c r="F95" s="23"/>
      <c r="G95" s="23"/>
    </row>
    <row r="96" spans="2:7" s="20" customFormat="1">
      <c r="B96" s="23"/>
      <c r="C96" s="23"/>
      <c r="D96" s="23"/>
      <c r="E96" s="23"/>
      <c r="F96" s="23"/>
      <c r="G96" s="23"/>
    </row>
    <row r="97" spans="2:7" s="20" customFormat="1">
      <c r="B97" s="23"/>
      <c r="C97" s="23"/>
      <c r="D97" s="23"/>
      <c r="E97" s="23"/>
      <c r="F97" s="23"/>
      <c r="G97" s="23"/>
    </row>
    <row r="98" spans="2:7" s="20" customFormat="1">
      <c r="B98" s="23"/>
      <c r="C98" s="27"/>
      <c r="D98" s="23"/>
      <c r="E98" s="23"/>
      <c r="F98" s="23"/>
      <c r="G98" s="23"/>
    </row>
    <row r="99" spans="2:7" s="20" customFormat="1">
      <c r="B99" s="26"/>
    </row>
    <row r="100" spans="2:7" s="20" customFormat="1" ht="15.5">
      <c r="B100" s="14"/>
    </row>
    <row r="101" spans="2:7" s="20" customFormat="1" ht="15.5">
      <c r="B101" s="14"/>
    </row>
    <row r="102" spans="2:7" s="20" customFormat="1" ht="15.5">
      <c r="B102" s="14"/>
    </row>
    <row r="103" spans="2:7" s="20" customFormat="1" ht="15.5">
      <c r="B103" s="14"/>
    </row>
    <row r="104" spans="2:7" s="20" customFormat="1">
      <c r="B104" s="26"/>
    </row>
    <row r="105" spans="2:7" s="20" customFormat="1">
      <c r="B105" s="23"/>
      <c r="C105" s="23"/>
      <c r="D105" s="23"/>
      <c r="E105" s="23"/>
    </row>
    <row r="106" spans="2:7" s="20" customFormat="1">
      <c r="B106" s="23"/>
      <c r="C106" s="23"/>
      <c r="D106" s="23"/>
      <c r="E106" s="23"/>
    </row>
    <row r="107" spans="2:7" s="20" customFormat="1">
      <c r="B107" s="9"/>
      <c r="C107" s="24"/>
      <c r="D107" s="9"/>
      <c r="E107" s="9"/>
    </row>
    <row r="108" spans="2:7" s="20" customFormat="1">
      <c r="B108" s="256"/>
      <c r="C108" s="25"/>
      <c r="D108" s="256"/>
      <c r="E108" s="256"/>
    </row>
    <row r="109" spans="2:7" s="20" customFormat="1">
      <c r="B109" s="256"/>
      <c r="C109" s="25"/>
      <c r="D109" s="256"/>
      <c r="E109" s="256"/>
    </row>
    <row r="110" spans="2:7" s="20" customFormat="1">
      <c r="B110" s="9"/>
      <c r="C110" s="28"/>
      <c r="D110" s="9"/>
      <c r="E110" s="9"/>
    </row>
    <row r="111" spans="2:7" s="20" customFormat="1">
      <c r="B111" s="9"/>
      <c r="C111" s="24"/>
      <c r="D111" s="9"/>
      <c r="E111" s="9"/>
    </row>
    <row r="112" spans="2:7" s="20" customFormat="1">
      <c r="B112" s="9"/>
      <c r="C112" s="24"/>
      <c r="D112" s="9"/>
      <c r="E112" s="9"/>
    </row>
    <row r="113" spans="2:5" s="20" customFormat="1">
      <c r="B113" s="256"/>
      <c r="C113" s="28"/>
      <c r="D113" s="256"/>
      <c r="E113" s="256"/>
    </row>
    <row r="114" spans="2:5" s="20" customFormat="1">
      <c r="B114" s="256"/>
      <c r="C114" s="24"/>
      <c r="D114" s="256"/>
      <c r="E114" s="256"/>
    </row>
    <row r="115" spans="2:5" s="20" customFormat="1">
      <c r="B115" s="9"/>
      <c r="C115" s="24"/>
      <c r="D115" s="9"/>
      <c r="E115" s="9"/>
    </row>
    <row r="116" spans="2:5" s="20" customFormat="1">
      <c r="B116" s="9"/>
      <c r="C116" s="24"/>
      <c r="D116" s="9"/>
      <c r="E116" s="9"/>
    </row>
    <row r="117" spans="2:5" s="20" customFormat="1">
      <c r="B117" s="9"/>
      <c r="C117" s="29"/>
      <c r="D117" s="9"/>
      <c r="E117" s="9"/>
    </row>
    <row r="118" spans="2:5" s="20" customFormat="1">
      <c r="B118" s="9"/>
      <c r="C118" s="29"/>
      <c r="D118" s="9"/>
      <c r="E118" s="9"/>
    </row>
    <row r="119" spans="2:5" s="20" customFormat="1">
      <c r="B119" s="9"/>
      <c r="C119" s="24"/>
      <c r="D119" s="9"/>
      <c r="E119" s="9"/>
    </row>
    <row r="120" spans="2:5" s="20" customFormat="1">
      <c r="B120" s="9"/>
      <c r="C120" s="27"/>
      <c r="D120" s="9"/>
      <c r="E120" s="9"/>
    </row>
    <row r="121" spans="2:5" s="20" customFormat="1">
      <c r="B121" s="26"/>
    </row>
    <row r="122" spans="2:5" s="20" customFormat="1">
      <c r="B122" s="30"/>
    </row>
    <row r="123" spans="2:5" s="20" customFormat="1" ht="15.5">
      <c r="B123" s="22"/>
    </row>
    <row r="124" spans="2:5" s="20" customFormat="1">
      <c r="B124" s="31"/>
    </row>
    <row r="125" spans="2:5" s="20" customFormat="1" ht="15.5">
      <c r="B125" s="22"/>
    </row>
    <row r="126" spans="2:5" s="20" customFormat="1" ht="15.5">
      <c r="B126" s="22"/>
    </row>
    <row r="127" spans="2:5" s="20" customFormat="1" ht="15.5">
      <c r="B127" s="22"/>
    </row>
    <row r="128" spans="2:5" s="20" customFormat="1" ht="15.5">
      <c r="B128" s="22"/>
    </row>
    <row r="129" spans="2:6" s="20" customFormat="1" ht="15.5">
      <c r="B129" s="22"/>
    </row>
    <row r="130" spans="2:6" s="20" customFormat="1" ht="15.5">
      <c r="B130" s="14"/>
    </row>
    <row r="131" spans="2:6" s="20" customFormat="1" ht="15.5">
      <c r="B131" s="14"/>
    </row>
    <row r="132" spans="2:6" s="20" customFormat="1" ht="15.5">
      <c r="B132" s="22"/>
    </row>
    <row r="133" spans="2:6" s="20" customFormat="1" ht="15.5">
      <c r="B133" s="22"/>
    </row>
    <row r="134" spans="2:6" s="20" customFormat="1" ht="15.5">
      <c r="B134" s="22"/>
    </row>
    <row r="135" spans="2:6" s="20" customFormat="1">
      <c r="B135" s="26"/>
    </row>
    <row r="136" spans="2:6" s="20" customFormat="1">
      <c r="B136" s="23"/>
      <c r="C136" s="23"/>
      <c r="D136" s="23"/>
      <c r="E136" s="23"/>
      <c r="F136" s="23"/>
    </row>
    <row r="137" spans="2:6" s="20" customFormat="1">
      <c r="B137" s="23"/>
      <c r="C137" s="23"/>
      <c r="D137" s="23"/>
      <c r="E137" s="23"/>
      <c r="F137" s="23"/>
    </row>
    <row r="138" spans="2:6" s="20" customFormat="1">
      <c r="B138" s="23"/>
      <c r="C138" s="23"/>
      <c r="D138" s="23"/>
      <c r="E138" s="23"/>
      <c r="F138" s="23"/>
    </row>
    <row r="139" spans="2:6" s="20" customFormat="1">
      <c r="B139" s="23"/>
      <c r="C139" s="23"/>
      <c r="D139" s="23"/>
      <c r="E139" s="23"/>
      <c r="F139" s="23"/>
    </row>
    <row r="140" spans="2:6" s="20" customFormat="1">
      <c r="B140" s="23"/>
      <c r="C140" s="27"/>
      <c r="D140" s="23"/>
      <c r="E140" s="23"/>
      <c r="F140" s="23"/>
    </row>
    <row r="141" spans="2:6" s="20" customFormat="1">
      <c r="B141" s="10"/>
    </row>
    <row r="142" spans="2:6" s="20" customFormat="1" ht="15.5">
      <c r="B142" s="14"/>
    </row>
    <row r="143" spans="2:6" s="20" customFormat="1" ht="15.5">
      <c r="B143" s="14"/>
    </row>
    <row r="144" spans="2:6" s="20" customFormat="1" ht="15.5">
      <c r="B144" s="14"/>
    </row>
    <row r="145" spans="2:6" s="20" customFormat="1" ht="15.5">
      <c r="B145" s="22"/>
    </row>
    <row r="146" spans="2:6" s="20" customFormat="1" ht="15.5">
      <c r="B146" s="22"/>
    </row>
    <row r="147" spans="2:6" s="20" customFormat="1">
      <c r="B147" s="26"/>
    </row>
    <row r="148" spans="2:6" s="20" customFormat="1">
      <c r="B148" s="23"/>
      <c r="C148" s="23"/>
      <c r="D148" s="23"/>
      <c r="E148" s="23"/>
      <c r="F148" s="23"/>
    </row>
    <row r="149" spans="2:6" s="20" customFormat="1">
      <c r="B149" s="23"/>
      <c r="C149" s="23"/>
      <c r="D149" s="23"/>
      <c r="E149" s="23"/>
      <c r="F149" s="23"/>
    </row>
    <row r="150" spans="2:6" s="20" customFormat="1">
      <c r="B150" s="23"/>
      <c r="C150" s="23"/>
      <c r="D150" s="23"/>
      <c r="E150" s="23"/>
      <c r="F150" s="23"/>
    </row>
    <row r="151" spans="2:6" s="20" customFormat="1">
      <c r="B151" s="23"/>
      <c r="C151" s="23"/>
      <c r="D151" s="23"/>
      <c r="E151" s="23"/>
      <c r="F151" s="23"/>
    </row>
    <row r="152" spans="2:6" s="20" customFormat="1">
      <c r="B152" s="23"/>
      <c r="C152" s="27"/>
      <c r="D152" s="23"/>
      <c r="E152" s="23"/>
      <c r="F152" s="23"/>
    </row>
    <row r="153" spans="2:6" s="20" customFormat="1">
      <c r="B153" s="26"/>
    </row>
    <row r="154" spans="2:6" s="20" customFormat="1" ht="15.5">
      <c r="B154" s="14"/>
    </row>
    <row r="155" spans="2:6" s="20" customFormat="1" ht="15.5">
      <c r="B155" s="14"/>
    </row>
    <row r="156" spans="2:6" s="20" customFormat="1" ht="15.5">
      <c r="B156" s="22"/>
    </row>
    <row r="157" spans="2:6" s="20" customFormat="1" ht="15.5">
      <c r="B157" s="22"/>
    </row>
    <row r="158" spans="2:6" s="20" customFormat="1" ht="15.5">
      <c r="B158" s="22"/>
    </row>
    <row r="159" spans="2:6" s="20" customFormat="1" ht="15.5">
      <c r="B159" s="22"/>
    </row>
    <row r="160" spans="2:6" s="20" customFormat="1">
      <c r="B160" s="23"/>
      <c r="C160" s="23"/>
      <c r="D160" s="23"/>
      <c r="E160" s="23"/>
      <c r="F160" s="23"/>
    </row>
    <row r="161" spans="2:6" s="20" customFormat="1">
      <c r="B161" s="23"/>
      <c r="C161" s="23"/>
      <c r="D161" s="23"/>
      <c r="E161" s="23"/>
      <c r="F161" s="23"/>
    </row>
    <row r="162" spans="2:6" s="20" customFormat="1">
      <c r="B162" s="23"/>
      <c r="C162" s="23"/>
      <c r="D162" s="23"/>
      <c r="E162" s="23"/>
      <c r="F162" s="23"/>
    </row>
    <row r="163" spans="2:6" s="20" customFormat="1">
      <c r="B163" s="23"/>
      <c r="C163" s="23"/>
      <c r="D163" s="23"/>
      <c r="E163" s="23"/>
      <c r="F163" s="23"/>
    </row>
    <row r="164" spans="2:6" s="20" customFormat="1">
      <c r="B164" s="23"/>
      <c r="C164" s="27"/>
      <c r="D164" s="23"/>
      <c r="E164" s="23"/>
      <c r="F164" s="23"/>
    </row>
    <row r="165" spans="2:6" s="20" customFormat="1">
      <c r="B165" s="26"/>
    </row>
    <row r="166" spans="2:6" s="20" customFormat="1" ht="15.5">
      <c r="B166" s="14"/>
    </row>
    <row r="167" spans="2:6" s="20" customFormat="1" ht="15.5">
      <c r="B167" s="14"/>
    </row>
    <row r="168" spans="2:6" s="20" customFormat="1" ht="15.5">
      <c r="B168" s="14"/>
    </row>
    <row r="169" spans="2:6" s="20" customFormat="1" ht="15.5">
      <c r="B169" s="22"/>
    </row>
    <row r="170" spans="2:6" s="20" customFormat="1" ht="15.5">
      <c r="B170" s="22"/>
    </row>
    <row r="171" spans="2:6" s="20" customFormat="1">
      <c r="B171" s="26"/>
    </row>
    <row r="172" spans="2:6" s="20" customFormat="1">
      <c r="B172" s="23"/>
      <c r="C172" s="23"/>
      <c r="D172" s="23"/>
      <c r="E172" s="23"/>
      <c r="F172" s="23"/>
    </row>
    <row r="173" spans="2:6" s="20" customFormat="1">
      <c r="B173" s="23"/>
      <c r="C173" s="23"/>
      <c r="D173" s="23"/>
      <c r="E173" s="23"/>
      <c r="F173" s="23"/>
    </row>
    <row r="174" spans="2:6" s="20" customFormat="1">
      <c r="B174" s="23"/>
      <c r="C174" s="23"/>
      <c r="D174" s="23"/>
      <c r="E174" s="23"/>
      <c r="F174" s="23"/>
    </row>
    <row r="175" spans="2:6" s="20" customFormat="1">
      <c r="B175" s="23"/>
      <c r="C175" s="23"/>
      <c r="D175" s="23"/>
      <c r="E175" s="23"/>
      <c r="F175" s="23"/>
    </row>
    <row r="176" spans="2:6" s="20" customFormat="1">
      <c r="B176" s="23"/>
      <c r="C176" s="27"/>
      <c r="D176" s="23"/>
      <c r="E176" s="23"/>
      <c r="F176" s="23"/>
    </row>
    <row r="177" spans="2:7" s="20" customFormat="1">
      <c r="B177" s="26"/>
    </row>
    <row r="178" spans="2:7" s="20" customFormat="1" ht="15.5">
      <c r="B178" s="14"/>
    </row>
    <row r="179" spans="2:7" s="20" customFormat="1" ht="15.5">
      <c r="B179" s="22"/>
    </row>
    <row r="180" spans="2:7" s="20" customFormat="1" ht="15.5">
      <c r="B180" s="22"/>
    </row>
    <row r="181" spans="2:7" s="20" customFormat="1" ht="15.5">
      <c r="B181" s="22"/>
    </row>
    <row r="182" spans="2:7" s="20" customFormat="1" ht="15.5">
      <c r="B182" s="22"/>
    </row>
    <row r="183" spans="2:7" s="20" customFormat="1" ht="15.5">
      <c r="B183" s="14"/>
    </row>
    <row r="184" spans="2:7" s="20" customFormat="1">
      <c r="B184" s="26"/>
    </row>
    <row r="185" spans="2:7" s="20" customFormat="1">
      <c r="B185" s="23"/>
      <c r="C185" s="23"/>
      <c r="D185" s="23"/>
      <c r="E185" s="23"/>
      <c r="F185" s="23"/>
      <c r="G185" s="23"/>
    </row>
    <row r="186" spans="2:7" s="20" customFormat="1">
      <c r="B186" s="23"/>
      <c r="C186" s="23"/>
      <c r="D186" s="23"/>
      <c r="E186" s="23"/>
      <c r="F186" s="23"/>
      <c r="G186" s="23"/>
    </row>
    <row r="187" spans="2:7" s="20" customFormat="1">
      <c r="B187" s="23"/>
      <c r="C187" s="23"/>
      <c r="D187" s="23"/>
      <c r="E187" s="23"/>
      <c r="F187" s="23"/>
      <c r="G187" s="23"/>
    </row>
    <row r="188" spans="2:7" s="20" customFormat="1">
      <c r="B188" s="23"/>
      <c r="C188" s="23"/>
      <c r="D188" s="23"/>
      <c r="E188" s="23"/>
      <c r="F188" s="23"/>
      <c r="G188" s="23"/>
    </row>
    <row r="189" spans="2:7" s="20" customFormat="1">
      <c r="B189" s="23"/>
      <c r="C189" s="27"/>
      <c r="D189" s="23"/>
      <c r="E189" s="23"/>
      <c r="F189" s="23"/>
      <c r="G189" s="23"/>
    </row>
    <row r="190" spans="2:7" s="20" customFormat="1">
      <c r="B190" s="26"/>
    </row>
    <row r="191" spans="2:7" s="20" customFormat="1" ht="15.5">
      <c r="B191" s="14"/>
    </row>
    <row r="192" spans="2:7" s="20" customFormat="1" ht="15.5">
      <c r="B192" s="14"/>
    </row>
    <row r="193" spans="2:7" s="20" customFormat="1">
      <c r="B193" s="23"/>
      <c r="C193" s="23"/>
      <c r="D193" s="23"/>
      <c r="E193" s="23"/>
      <c r="F193" s="23"/>
    </row>
    <row r="194" spans="2:7" s="20" customFormat="1">
      <c r="B194" s="23"/>
      <c r="C194" s="23"/>
      <c r="D194" s="23"/>
      <c r="E194" s="23"/>
      <c r="F194" s="23"/>
    </row>
    <row r="195" spans="2:7" s="20" customFormat="1">
      <c r="B195" s="23"/>
      <c r="C195" s="23"/>
      <c r="D195" s="23"/>
      <c r="E195" s="23"/>
      <c r="F195" s="23"/>
    </row>
    <row r="196" spans="2:7" s="20" customFormat="1">
      <c r="B196" s="23"/>
      <c r="C196" s="23"/>
      <c r="D196" s="23"/>
      <c r="E196" s="23"/>
      <c r="F196" s="23"/>
    </row>
    <row r="197" spans="2:7" s="20" customFormat="1">
      <c r="B197" s="23"/>
      <c r="C197" s="27"/>
      <c r="D197" s="23"/>
      <c r="E197" s="23"/>
      <c r="F197" s="23"/>
    </row>
    <row r="198" spans="2:7" s="20" customFormat="1">
      <c r="B198" s="26"/>
    </row>
    <row r="199" spans="2:7" s="20" customFormat="1" ht="15.5">
      <c r="B199" s="14"/>
    </row>
    <row r="200" spans="2:7" s="20" customFormat="1">
      <c r="B200" s="30"/>
    </row>
    <row r="201" spans="2:7" s="20" customFormat="1">
      <c r="B201" s="23"/>
      <c r="C201" s="23"/>
      <c r="D201" s="23"/>
      <c r="E201" s="23"/>
      <c r="F201" s="23"/>
      <c r="G201" s="23"/>
    </row>
    <row r="202" spans="2:7" s="20" customFormat="1">
      <c r="B202" s="23"/>
      <c r="C202" s="23"/>
      <c r="D202" s="23"/>
      <c r="E202" s="23"/>
      <c r="F202" s="23"/>
      <c r="G202" s="23"/>
    </row>
    <row r="203" spans="2:7" s="20" customFormat="1">
      <c r="B203" s="23"/>
      <c r="C203" s="23"/>
      <c r="D203" s="23"/>
      <c r="E203" s="23"/>
      <c r="F203" s="23"/>
      <c r="G203" s="23"/>
    </row>
    <row r="204" spans="2:7" s="20" customFormat="1">
      <c r="B204" s="23"/>
      <c r="C204" s="23"/>
      <c r="D204" s="23"/>
      <c r="E204" s="23"/>
      <c r="F204" s="23"/>
      <c r="G204" s="23"/>
    </row>
    <row r="205" spans="2:7" s="20" customFormat="1">
      <c r="B205" s="23"/>
      <c r="C205" s="27"/>
      <c r="D205" s="23"/>
      <c r="E205" s="23"/>
      <c r="F205" s="23"/>
      <c r="G205" s="23"/>
    </row>
    <row r="206" spans="2:7" s="20" customFormat="1">
      <c r="B206" s="26"/>
    </row>
    <row r="207" spans="2:7" s="20" customFormat="1" ht="15.5">
      <c r="B207" s="14"/>
    </row>
    <row r="208" spans="2:7" s="20" customFormat="1" ht="15.5">
      <c r="B208" s="22"/>
    </row>
    <row r="209" spans="2:6" s="20" customFormat="1">
      <c r="B209" s="23"/>
      <c r="C209" s="23"/>
      <c r="D209" s="23"/>
      <c r="E209" s="23"/>
      <c r="F209" s="23"/>
    </row>
    <row r="210" spans="2:6" s="20" customFormat="1">
      <c r="B210" s="23"/>
      <c r="C210" s="23"/>
      <c r="D210" s="23"/>
      <c r="E210" s="23"/>
      <c r="F210" s="23"/>
    </row>
    <row r="211" spans="2:6" s="20" customFormat="1">
      <c r="B211" s="23"/>
      <c r="C211" s="23"/>
      <c r="D211" s="23"/>
      <c r="E211" s="23"/>
      <c r="F211" s="23"/>
    </row>
    <row r="212" spans="2:6" s="20" customFormat="1">
      <c r="B212" s="23"/>
      <c r="C212" s="23"/>
      <c r="D212" s="23"/>
      <c r="E212" s="23"/>
      <c r="F212" s="23"/>
    </row>
    <row r="213" spans="2:6" s="20" customFormat="1">
      <c r="B213" s="23"/>
      <c r="C213" s="27"/>
      <c r="D213" s="23"/>
      <c r="E213" s="23"/>
      <c r="F213" s="23"/>
    </row>
    <row r="214" spans="2:6" s="20" customFormat="1">
      <c r="B214" s="26"/>
    </row>
    <row r="215" spans="2:6" s="20" customFormat="1" ht="15.5">
      <c r="B215" s="14"/>
    </row>
    <row r="216" spans="2:6" s="20" customFormat="1" ht="15.5">
      <c r="B216" s="14"/>
    </row>
    <row r="217" spans="2:6" s="20" customFormat="1">
      <c r="B217" s="26"/>
    </row>
    <row r="218" spans="2:6" s="20" customFormat="1">
      <c r="B218" s="23"/>
      <c r="C218" s="23"/>
      <c r="D218" s="23"/>
      <c r="E218" s="23"/>
      <c r="F218" s="23"/>
    </row>
    <row r="219" spans="2:6" s="20" customFormat="1">
      <c r="B219" s="23"/>
      <c r="C219" s="23"/>
      <c r="D219" s="23"/>
      <c r="E219" s="23"/>
      <c r="F219" s="23"/>
    </row>
    <row r="220" spans="2:6" s="20" customFormat="1">
      <c r="B220" s="23"/>
      <c r="C220" s="23"/>
      <c r="D220" s="23"/>
      <c r="E220" s="23"/>
      <c r="F220" s="23"/>
    </row>
    <row r="221" spans="2:6" s="20" customFormat="1">
      <c r="B221" s="23"/>
      <c r="C221" s="23"/>
      <c r="D221" s="23"/>
      <c r="E221" s="23"/>
      <c r="F221" s="23"/>
    </row>
    <row r="222" spans="2:6" s="20" customFormat="1">
      <c r="B222" s="23"/>
      <c r="C222" s="27"/>
      <c r="D222" s="23"/>
      <c r="E222" s="23"/>
      <c r="F222" s="23"/>
    </row>
    <row r="223" spans="2:6" s="20" customFormat="1">
      <c r="B223" s="26"/>
    </row>
    <row r="224" spans="2:6" s="20" customFormat="1" ht="15.5">
      <c r="B224" s="14"/>
    </row>
    <row r="225" spans="2:6" s="20" customFormat="1" ht="15.5">
      <c r="B225" s="14"/>
    </row>
    <row r="226" spans="2:6" s="20" customFormat="1">
      <c r="B226" s="23"/>
      <c r="C226" s="23"/>
      <c r="D226" s="23"/>
      <c r="E226" s="23"/>
    </row>
    <row r="227" spans="2:6" s="20" customFormat="1">
      <c r="B227" s="23"/>
      <c r="C227" s="23"/>
      <c r="D227" s="23"/>
      <c r="E227" s="23"/>
    </row>
    <row r="228" spans="2:6" s="20" customFormat="1">
      <c r="B228" s="23"/>
      <c r="C228" s="23"/>
      <c r="D228" s="23"/>
      <c r="E228" s="23"/>
    </row>
    <row r="229" spans="2:6" s="20" customFormat="1">
      <c r="B229" s="23"/>
      <c r="C229" s="23"/>
      <c r="D229" s="23"/>
      <c r="E229" s="23"/>
    </row>
    <row r="230" spans="2:6" s="20" customFormat="1">
      <c r="B230" s="23"/>
      <c r="C230" s="27"/>
      <c r="D230" s="23"/>
      <c r="E230" s="23"/>
    </row>
    <row r="231" spans="2:6" s="20" customFormat="1">
      <c r="B231" s="26"/>
    </row>
    <row r="232" spans="2:6" s="20" customFormat="1" ht="15.5">
      <c r="B232" s="14"/>
    </row>
    <row r="233" spans="2:6" s="20" customFormat="1" ht="15.5">
      <c r="B233" s="14"/>
    </row>
    <row r="234" spans="2:6" s="20" customFormat="1">
      <c r="B234" s="26"/>
    </row>
    <row r="235" spans="2:6" s="20" customFormat="1">
      <c r="B235" s="23"/>
      <c r="C235" s="23"/>
      <c r="D235" s="23"/>
      <c r="E235" s="23"/>
      <c r="F235" s="23"/>
    </row>
    <row r="236" spans="2:6" s="20" customFormat="1">
      <c r="B236" s="23"/>
      <c r="C236" s="23"/>
      <c r="D236" s="23"/>
      <c r="E236" s="23"/>
      <c r="F236" s="23"/>
    </row>
    <row r="237" spans="2:6" s="20" customFormat="1">
      <c r="B237" s="23"/>
      <c r="C237" s="23"/>
      <c r="D237" s="23"/>
      <c r="E237" s="23"/>
      <c r="F237" s="23"/>
    </row>
    <row r="238" spans="2:6" s="20" customFormat="1">
      <c r="B238" s="23"/>
      <c r="C238" s="23"/>
      <c r="D238" s="23"/>
      <c r="E238" s="23"/>
      <c r="F238" s="23"/>
    </row>
    <row r="239" spans="2:6" s="20" customFormat="1">
      <c r="B239" s="23"/>
      <c r="C239" s="27"/>
      <c r="D239" s="23"/>
      <c r="E239" s="23"/>
      <c r="F239" s="23"/>
    </row>
    <row r="240" spans="2:6" s="20" customFormat="1">
      <c r="B240" s="32"/>
    </row>
    <row r="241" spans="2:2" s="20" customFormat="1">
      <c r="B241" s="32"/>
    </row>
    <row r="242" spans="2:2" s="20" customFormat="1">
      <c r="B242" s="10"/>
    </row>
    <row r="243" spans="2:2" s="20" customFormat="1"/>
    <row r="244" spans="2:2" s="20" customFormat="1"/>
    <row r="245" spans="2:2" s="20" customFormat="1"/>
    <row r="246" spans="2:2" s="20" customFormat="1"/>
    <row r="247" spans="2:2" s="20" customFormat="1"/>
    <row r="248" spans="2:2" s="20" customFormat="1"/>
    <row r="249" spans="2:2" s="20" customFormat="1"/>
    <row r="250" spans="2:2" s="20" customFormat="1"/>
    <row r="251" spans="2:2" s="20" customFormat="1"/>
    <row r="252" spans="2:2" s="20" customFormat="1"/>
    <row r="253" spans="2:2" s="20" customFormat="1"/>
    <row r="254" spans="2:2" s="20" customFormat="1"/>
    <row r="255" spans="2:2" s="20" customFormat="1"/>
    <row r="256" spans="2:2" s="20" customFormat="1"/>
    <row r="257" s="20" customFormat="1"/>
    <row r="258" s="20" customFormat="1"/>
    <row r="259" s="20" customFormat="1"/>
    <row r="260" s="20" customFormat="1"/>
    <row r="261" s="20" customFormat="1"/>
    <row r="262" s="20" customFormat="1"/>
    <row r="263" s="20" customFormat="1"/>
    <row r="264" s="20" customFormat="1"/>
    <row r="265" s="20" customFormat="1"/>
    <row r="266" s="20" customFormat="1"/>
    <row r="267" s="20" customFormat="1"/>
    <row r="268" s="20" customFormat="1"/>
    <row r="269" s="20" customFormat="1"/>
    <row r="270" s="20" customFormat="1"/>
    <row r="271" s="20" customFormat="1"/>
    <row r="272" s="20" customFormat="1"/>
    <row r="273" s="20" customFormat="1"/>
    <row r="274" s="20" customFormat="1"/>
    <row r="275" s="20" customFormat="1"/>
    <row r="276" s="20" customFormat="1"/>
    <row r="277" s="20" customFormat="1"/>
    <row r="278" s="20" customFormat="1"/>
    <row r="279" s="20" customFormat="1"/>
    <row r="280" s="20" customFormat="1"/>
    <row r="281" s="20" customFormat="1"/>
    <row r="282" s="20" customFormat="1"/>
    <row r="283" s="20" customFormat="1"/>
    <row r="284" s="20" customFormat="1"/>
    <row r="285" s="20" customFormat="1"/>
    <row r="286" s="20" customFormat="1"/>
    <row r="287" s="20" customFormat="1"/>
  </sheetData>
  <mergeCells count="35">
    <mergeCell ref="B113:B114"/>
    <mergeCell ref="D113:D114"/>
    <mergeCell ref="E113:E114"/>
    <mergeCell ref="B2:D2"/>
    <mergeCell ref="B3:D3"/>
    <mergeCell ref="B5:D5"/>
    <mergeCell ref="B23:D23"/>
    <mergeCell ref="B24:D24"/>
    <mergeCell ref="B25:D25"/>
    <mergeCell ref="B26:D26"/>
    <mergeCell ref="B27:D27"/>
    <mergeCell ref="B28:D28"/>
    <mergeCell ref="B29:D29"/>
    <mergeCell ref="B41:D41"/>
    <mergeCell ref="B37:D37"/>
    <mergeCell ref="B31:D31"/>
    <mergeCell ref="B36:D36"/>
    <mergeCell ref="B108:B109"/>
    <mergeCell ref="D108:D109"/>
    <mergeCell ref="E108:E109"/>
    <mergeCell ref="B68:B70"/>
    <mergeCell ref="C68:C70"/>
    <mergeCell ref="D68:D70"/>
    <mergeCell ref="E68:H68"/>
    <mergeCell ref="B75:C75"/>
    <mergeCell ref="B4:D4"/>
    <mergeCell ref="K68:K70"/>
    <mergeCell ref="E69:E70"/>
    <mergeCell ref="F69:H69"/>
    <mergeCell ref="I68:I70"/>
    <mergeCell ref="J68:J70"/>
    <mergeCell ref="B30:D30"/>
    <mergeCell ref="B32:D32"/>
    <mergeCell ref="B33:D33"/>
    <mergeCell ref="B35:D35"/>
  </mergeCells>
  <phoneticPr fontId="0" type="noConversion"/>
  <pageMargins left="0.98425196850393704" right="0.47244094488188981" top="0.47244094488188981" bottom="0.47244094488188981" header="0.19685039370078741" footer="0.19685039370078741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K34"/>
  <sheetViews>
    <sheetView topLeftCell="A16" zoomScale="110" zoomScaleNormal="110" workbookViewId="0">
      <selection activeCell="O24" sqref="O24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7.17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6384" width="9.1796875" style="70"/>
  </cols>
  <sheetData>
    <row r="1" spans="1:10" s="92" customFormat="1">
      <c r="C1" s="149"/>
      <c r="D1" s="149"/>
      <c r="J1" s="150" t="s">
        <v>484</v>
      </c>
    </row>
    <row r="2" spans="1:10" s="92" customFormat="1" ht="15.5">
      <c r="A2" s="259" t="s">
        <v>510</v>
      </c>
      <c r="B2" s="259"/>
      <c r="C2" s="259"/>
      <c r="D2" s="259"/>
      <c r="E2" s="259"/>
      <c r="F2" s="259"/>
      <c r="G2" s="259"/>
      <c r="H2" s="259"/>
      <c r="I2" s="259"/>
      <c r="J2" s="259"/>
    </row>
    <row r="3" spans="1:10" s="92" customFormat="1" ht="15.5">
      <c r="A3" s="259" t="s">
        <v>511</v>
      </c>
      <c r="B3" s="259"/>
      <c r="C3" s="259"/>
      <c r="D3" s="259"/>
      <c r="E3" s="259"/>
      <c r="F3" s="259"/>
      <c r="G3" s="259"/>
      <c r="H3" s="259"/>
      <c r="I3" s="259"/>
      <c r="J3" s="259"/>
    </row>
    <row r="4" spans="1:10" s="92" customFormat="1" ht="15.5">
      <c r="A4" s="259" t="s">
        <v>512</v>
      </c>
      <c r="B4" s="259"/>
      <c r="C4" s="259"/>
      <c r="D4" s="259"/>
      <c r="E4" s="259"/>
      <c r="F4" s="259"/>
      <c r="G4" s="259"/>
      <c r="H4" s="259"/>
      <c r="I4" s="259"/>
      <c r="J4" s="259"/>
    </row>
    <row r="5" spans="1:10" s="92" customFormat="1" ht="15.5">
      <c r="A5" s="259" t="s">
        <v>513</v>
      </c>
      <c r="B5" s="259"/>
      <c r="C5" s="259"/>
      <c r="D5" s="259"/>
      <c r="E5" s="259"/>
      <c r="F5" s="259"/>
      <c r="G5" s="259"/>
      <c r="H5" s="259"/>
      <c r="I5" s="259"/>
      <c r="J5" s="259"/>
    </row>
    <row r="6" spans="1:10" s="92" customFormat="1" ht="15.5">
      <c r="A6" s="259" t="s">
        <v>514</v>
      </c>
      <c r="B6" s="259"/>
      <c r="C6" s="259"/>
      <c r="D6" s="259"/>
      <c r="E6" s="259"/>
      <c r="F6" s="259"/>
      <c r="G6" s="259"/>
      <c r="H6" s="259"/>
      <c r="I6" s="259"/>
      <c r="J6" s="259"/>
    </row>
    <row r="7" spans="1:10" s="92" customFormat="1" ht="15.5">
      <c r="A7" s="259" t="s">
        <v>515</v>
      </c>
      <c r="B7" s="259"/>
      <c r="C7" s="259"/>
      <c r="D7" s="259"/>
      <c r="E7" s="259"/>
      <c r="F7" s="259"/>
      <c r="G7" s="259"/>
      <c r="H7" s="259"/>
      <c r="I7" s="259"/>
      <c r="J7" s="259"/>
    </row>
    <row r="8" spans="1:10" s="92" customFormat="1" ht="15.5">
      <c r="A8" s="259" t="s">
        <v>516</v>
      </c>
      <c r="B8" s="259"/>
      <c r="C8" s="259"/>
      <c r="D8" s="259"/>
      <c r="E8" s="259"/>
      <c r="F8" s="259"/>
      <c r="G8" s="259"/>
      <c r="H8" s="259"/>
      <c r="I8" s="259"/>
      <c r="J8" s="259"/>
    </row>
    <row r="9" spans="1:10" s="92" customFormat="1" ht="15.5">
      <c r="A9" s="259" t="s">
        <v>620</v>
      </c>
      <c r="B9" s="259"/>
      <c r="C9" s="259"/>
      <c r="D9" s="259"/>
      <c r="E9" s="259"/>
      <c r="F9" s="259"/>
      <c r="G9" s="259"/>
      <c r="H9" s="259"/>
      <c r="I9" s="259"/>
      <c r="J9" s="259"/>
    </row>
    <row r="10" spans="1:10" s="92" customFormat="1" ht="15.5">
      <c r="A10" s="72"/>
      <c r="B10" s="72"/>
      <c r="C10" s="72"/>
      <c r="D10" s="72"/>
      <c r="E10" s="72"/>
      <c r="F10" s="72"/>
      <c r="G10" s="72"/>
      <c r="H10" s="72"/>
      <c r="I10" s="72"/>
      <c r="J10" s="72"/>
    </row>
    <row r="11" spans="1:10" s="92" customFormat="1" ht="15.5">
      <c r="A11" s="247" t="s">
        <v>507</v>
      </c>
      <c r="B11" s="247"/>
      <c r="C11" s="247"/>
      <c r="D11" s="247"/>
      <c r="E11" s="247"/>
      <c r="F11" s="247"/>
      <c r="G11" s="247"/>
      <c r="H11" s="247"/>
      <c r="I11" s="247"/>
      <c r="J11" s="247"/>
    </row>
    <row r="12" spans="1:10" s="92" customFormat="1" ht="15.5">
      <c r="A12" s="247" t="s">
        <v>508</v>
      </c>
      <c r="B12" s="247"/>
      <c r="C12" s="247"/>
      <c r="D12" s="247"/>
      <c r="E12" s="247"/>
      <c r="F12" s="247"/>
      <c r="G12" s="247"/>
      <c r="H12" s="247"/>
      <c r="I12" s="247"/>
      <c r="J12" s="247"/>
    </row>
    <row r="13" spans="1:10" s="92" customFormat="1" ht="15.5">
      <c r="A13" s="247" t="s">
        <v>509</v>
      </c>
      <c r="B13" s="247"/>
      <c r="C13" s="247"/>
      <c r="D13" s="247"/>
      <c r="E13" s="247"/>
      <c r="F13" s="247"/>
      <c r="G13" s="247"/>
      <c r="H13" s="247"/>
      <c r="I13" s="247"/>
      <c r="J13" s="247"/>
    </row>
    <row r="14" spans="1:10" s="92" customFormat="1" ht="15.5">
      <c r="A14" s="247" t="s">
        <v>133</v>
      </c>
      <c r="B14" s="247"/>
      <c r="C14" s="247"/>
      <c r="D14" s="247"/>
      <c r="E14" s="247"/>
      <c r="F14" s="247"/>
      <c r="G14" s="247"/>
      <c r="H14" s="247"/>
      <c r="I14" s="247"/>
      <c r="J14" s="247"/>
    </row>
    <row r="15" spans="1:10" s="92" customFormat="1" ht="15.5">
      <c r="A15" s="247" t="s">
        <v>506</v>
      </c>
      <c r="B15" s="247"/>
      <c r="C15" s="247"/>
      <c r="D15" s="247"/>
      <c r="E15" s="247"/>
      <c r="F15" s="247"/>
      <c r="G15" s="247"/>
      <c r="H15" s="247"/>
      <c r="I15" s="247"/>
      <c r="J15" s="247"/>
    </row>
    <row r="16" spans="1:10" s="92" customFormat="1" ht="15.5">
      <c r="A16" s="72"/>
      <c r="B16" s="72"/>
      <c r="C16" s="72"/>
      <c r="D16" s="72"/>
      <c r="E16" s="72"/>
      <c r="F16" s="72"/>
      <c r="G16" s="72"/>
      <c r="H16" s="72"/>
      <c r="I16" s="72"/>
      <c r="J16" s="72"/>
    </row>
    <row r="17" spans="1:11" s="92" customFormat="1" ht="15.5">
      <c r="A17" s="260" t="s">
        <v>751</v>
      </c>
      <c r="B17" s="260"/>
      <c r="C17" s="260"/>
      <c r="D17" s="260"/>
      <c r="E17" s="260"/>
      <c r="F17" s="260"/>
      <c r="G17" s="260"/>
      <c r="H17" s="260"/>
      <c r="I17" s="260"/>
      <c r="J17" s="260"/>
    </row>
    <row r="18" spans="1:11" s="92" customFormat="1" ht="37.5" customHeight="1">
      <c r="A18" s="262" t="s">
        <v>737</v>
      </c>
      <c r="B18" s="262"/>
      <c r="C18" s="262"/>
      <c r="D18" s="262"/>
      <c r="E18" s="262"/>
      <c r="F18" s="262"/>
      <c r="G18" s="262"/>
      <c r="H18" s="262"/>
      <c r="I18" s="262"/>
      <c r="J18" s="262"/>
    </row>
    <row r="19" spans="1:11" s="92" customFormat="1" ht="10.5" customHeight="1">
      <c r="A19" s="125"/>
      <c r="B19" s="125"/>
      <c r="C19" s="125"/>
      <c r="D19" s="125"/>
      <c r="E19" s="125"/>
      <c r="F19" s="125"/>
      <c r="G19" s="125"/>
      <c r="H19" s="125"/>
      <c r="I19" s="125"/>
      <c r="J19" s="125"/>
    </row>
    <row r="20" spans="1:11" s="92" customFormat="1" ht="30.75" customHeight="1">
      <c r="A20" s="262" t="s">
        <v>753</v>
      </c>
      <c r="B20" s="262"/>
      <c r="C20" s="262"/>
      <c r="D20" s="262"/>
      <c r="E20" s="262"/>
      <c r="F20" s="262"/>
      <c r="G20" s="262"/>
      <c r="H20" s="262"/>
      <c r="I20" s="262"/>
      <c r="J20" s="262"/>
    </row>
    <row r="21" spans="1:11" ht="10.5" customHeight="1">
      <c r="A21" s="125"/>
      <c r="B21" s="125"/>
      <c r="C21" s="125"/>
      <c r="D21" s="125"/>
      <c r="E21" s="125"/>
      <c r="F21" s="125"/>
      <c r="G21" s="125"/>
      <c r="H21" s="125"/>
      <c r="I21" s="125"/>
      <c r="J21" s="125"/>
    </row>
    <row r="22" spans="1:11" ht="30" customHeight="1">
      <c r="A22" s="261" t="s">
        <v>485</v>
      </c>
      <c r="B22" s="261" t="s">
        <v>486</v>
      </c>
      <c r="C22" s="261" t="s">
        <v>487</v>
      </c>
      <c r="D22" s="261" t="s">
        <v>488</v>
      </c>
      <c r="E22" s="261"/>
      <c r="F22" s="261"/>
      <c r="G22" s="261"/>
      <c r="H22" s="261" t="s">
        <v>749</v>
      </c>
      <c r="I22" s="261" t="s">
        <v>489</v>
      </c>
      <c r="J22" s="261" t="s">
        <v>743</v>
      </c>
    </row>
    <row r="23" spans="1:11" ht="15.75" customHeight="1">
      <c r="A23" s="261"/>
      <c r="B23" s="261"/>
      <c r="C23" s="261"/>
      <c r="D23" s="261" t="s">
        <v>447</v>
      </c>
      <c r="E23" s="261" t="s">
        <v>227</v>
      </c>
      <c r="F23" s="261"/>
      <c r="G23" s="261"/>
      <c r="H23" s="261"/>
      <c r="I23" s="261"/>
      <c r="J23" s="261"/>
    </row>
    <row r="24" spans="1:11" ht="136.5" customHeight="1">
      <c r="A24" s="261"/>
      <c r="B24" s="261"/>
      <c r="C24" s="261"/>
      <c r="D24" s="261"/>
      <c r="E24" s="142" t="s">
        <v>490</v>
      </c>
      <c r="F24" s="142" t="s">
        <v>491</v>
      </c>
      <c r="G24" s="142" t="s">
        <v>492</v>
      </c>
      <c r="H24" s="261"/>
      <c r="I24" s="261"/>
      <c r="J24" s="261"/>
      <c r="K24" s="70" t="s">
        <v>598</v>
      </c>
    </row>
    <row r="25" spans="1:11">
      <c r="A25" s="142">
        <v>1</v>
      </c>
      <c r="B25" s="142">
        <v>2</v>
      </c>
      <c r="C25" s="142">
        <v>3</v>
      </c>
      <c r="D25" s="142">
        <v>4</v>
      </c>
      <c r="E25" s="142">
        <v>5</v>
      </c>
      <c r="F25" s="142">
        <v>6</v>
      </c>
      <c r="G25" s="142">
        <v>7</v>
      </c>
      <c r="H25" s="142">
        <v>8</v>
      </c>
      <c r="I25" s="142">
        <v>9</v>
      </c>
      <c r="J25" s="142">
        <v>10</v>
      </c>
    </row>
    <row r="26" spans="1:11" ht="44.25" customHeight="1">
      <c r="A26" s="142">
        <v>1</v>
      </c>
      <c r="B26" s="142" t="s">
        <v>741</v>
      </c>
      <c r="C26" s="151">
        <v>3</v>
      </c>
      <c r="D26" s="151">
        <f xml:space="preserve"> E26+F26+G26</f>
        <v>47518.06</v>
      </c>
      <c r="E26" s="151">
        <v>32636</v>
      </c>
      <c r="F26" s="151"/>
      <c r="G26" s="151">
        <v>14882.06</v>
      </c>
      <c r="H26" s="142">
        <v>80</v>
      </c>
      <c r="I26" s="142">
        <v>0.7</v>
      </c>
      <c r="J26" s="148">
        <f>ROUND(C26*D26*(1+H26/100+I26)*12,0)</f>
        <v>4276625</v>
      </c>
    </row>
    <row r="27" spans="1:11" ht="45.75" customHeight="1">
      <c r="A27" s="142">
        <v>2</v>
      </c>
      <c r="B27" s="142" t="s">
        <v>742</v>
      </c>
      <c r="C27" s="151">
        <v>1</v>
      </c>
      <c r="D27" s="151">
        <f t="shared" ref="D27:D32" si="0">E27+F27+G27</f>
        <v>7818.71</v>
      </c>
      <c r="E27" s="151">
        <v>5370</v>
      </c>
      <c r="F27" s="151"/>
      <c r="G27" s="151">
        <v>2448.71</v>
      </c>
      <c r="H27" s="142">
        <v>80</v>
      </c>
      <c r="I27" s="142">
        <v>0.7</v>
      </c>
      <c r="J27" s="148">
        <f t="shared" ref="J27:J32" si="1">ROUND(C27*D27*(1+H27/100+I27)*12,0)</f>
        <v>234561</v>
      </c>
    </row>
    <row r="28" spans="1:11" ht="25">
      <c r="A28" s="142">
        <v>3</v>
      </c>
      <c r="B28" s="152" t="s">
        <v>746</v>
      </c>
      <c r="C28" s="177">
        <v>39.4</v>
      </c>
      <c r="D28" s="177">
        <f t="shared" si="0"/>
        <v>13467.92</v>
      </c>
      <c r="E28" s="177">
        <v>4204.74</v>
      </c>
      <c r="F28" s="177"/>
      <c r="G28" s="177">
        <v>9263.18</v>
      </c>
      <c r="H28" s="142">
        <v>80</v>
      </c>
      <c r="I28" s="142">
        <v>0.7</v>
      </c>
      <c r="J28" s="148">
        <f t="shared" si="1"/>
        <v>15919081</v>
      </c>
    </row>
    <row r="29" spans="1:11" ht="25">
      <c r="A29" s="142">
        <v>4</v>
      </c>
      <c r="B29" s="152" t="s">
        <v>747</v>
      </c>
      <c r="C29" s="151">
        <v>1</v>
      </c>
      <c r="D29" s="151">
        <f t="shared" si="0"/>
        <v>6147.96</v>
      </c>
      <c r="E29" s="151">
        <v>2815</v>
      </c>
      <c r="F29" s="151"/>
      <c r="G29" s="151">
        <v>3332.96</v>
      </c>
      <c r="H29" s="142">
        <v>80</v>
      </c>
      <c r="I29" s="142">
        <v>0.7</v>
      </c>
      <c r="J29" s="148">
        <f t="shared" si="1"/>
        <v>184439</v>
      </c>
    </row>
    <row r="30" spans="1:11" ht="25">
      <c r="A30" s="142">
        <v>5</v>
      </c>
      <c r="B30" s="152" t="s">
        <v>748</v>
      </c>
      <c r="C30" s="151">
        <v>3</v>
      </c>
      <c r="D30" s="151">
        <f t="shared" si="0"/>
        <v>5350.34</v>
      </c>
      <c r="E30" s="151">
        <v>3005</v>
      </c>
      <c r="F30" s="151">
        <v>0</v>
      </c>
      <c r="G30" s="151">
        <v>2345.34</v>
      </c>
      <c r="H30" s="142">
        <v>80</v>
      </c>
      <c r="I30" s="142">
        <v>0.7</v>
      </c>
      <c r="J30" s="148">
        <f t="shared" si="1"/>
        <v>481531</v>
      </c>
    </row>
    <row r="31" spans="1:11" ht="31.5" customHeight="1">
      <c r="A31" s="142">
        <v>6</v>
      </c>
      <c r="B31" s="152" t="s">
        <v>744</v>
      </c>
      <c r="C31" s="151">
        <v>3.5</v>
      </c>
      <c r="D31" s="151">
        <f t="shared" si="0"/>
        <v>4701.58</v>
      </c>
      <c r="E31" s="151">
        <v>3160.43</v>
      </c>
      <c r="F31" s="151"/>
      <c r="G31" s="151">
        <v>1541.15</v>
      </c>
      <c r="H31" s="142">
        <v>80</v>
      </c>
      <c r="I31" s="142">
        <v>0.7</v>
      </c>
      <c r="J31" s="148">
        <f t="shared" si="1"/>
        <v>493666</v>
      </c>
    </row>
    <row r="32" spans="1:11" ht="30" customHeight="1">
      <c r="A32" s="142">
        <v>7</v>
      </c>
      <c r="B32" s="152" t="s">
        <v>745</v>
      </c>
      <c r="C32" s="151">
        <v>23.75</v>
      </c>
      <c r="D32" s="151">
        <f t="shared" si="0"/>
        <v>3841.96</v>
      </c>
      <c r="E32" s="151">
        <v>2323.39</v>
      </c>
      <c r="F32" s="151">
        <v>233.61</v>
      </c>
      <c r="G32" s="151">
        <v>1284.96</v>
      </c>
      <c r="H32" s="142">
        <v>80</v>
      </c>
      <c r="I32" s="142">
        <v>0.7</v>
      </c>
      <c r="J32" s="148">
        <f t="shared" si="1"/>
        <v>2737397</v>
      </c>
    </row>
    <row r="33" spans="1:10" s="128" customFormat="1">
      <c r="A33" s="263" t="s">
        <v>493</v>
      </c>
      <c r="B33" s="263"/>
      <c r="C33" s="153" t="s">
        <v>494</v>
      </c>
      <c r="D33" s="153"/>
      <c r="E33" s="153" t="s">
        <v>494</v>
      </c>
      <c r="F33" s="153" t="s">
        <v>494</v>
      </c>
      <c r="G33" s="153" t="s">
        <v>494</v>
      </c>
      <c r="H33" s="153" t="s">
        <v>494</v>
      </c>
      <c r="I33" s="153" t="s">
        <v>494</v>
      </c>
      <c r="J33" s="154">
        <f>SUM(J26:J32)</f>
        <v>24327300</v>
      </c>
    </row>
    <row r="34" spans="1:10" ht="15.5">
      <c r="A34" s="125"/>
      <c r="B34" s="125"/>
      <c r="C34" s="125"/>
      <c r="D34" s="125"/>
      <c r="E34" s="125"/>
      <c r="F34" s="125"/>
      <c r="G34" s="125"/>
      <c r="H34" s="125"/>
      <c r="I34" s="125"/>
      <c r="J34" s="125"/>
    </row>
  </sheetData>
  <mergeCells count="26">
    <mergeCell ref="A33:B33"/>
    <mergeCell ref="A22:A24"/>
    <mergeCell ref="B22:B24"/>
    <mergeCell ref="C22:C24"/>
    <mergeCell ref="D22:G22"/>
    <mergeCell ref="A20:J20"/>
    <mergeCell ref="A18:J18"/>
    <mergeCell ref="J22:J24"/>
    <mergeCell ref="D23:D24"/>
    <mergeCell ref="E23:G23"/>
    <mergeCell ref="H22:H24"/>
    <mergeCell ref="I22:I24"/>
    <mergeCell ref="A17:J17"/>
    <mergeCell ref="A15:J15"/>
    <mergeCell ref="A13:J13"/>
    <mergeCell ref="A12:J12"/>
    <mergeCell ref="A11:J11"/>
    <mergeCell ref="A3:J3"/>
    <mergeCell ref="A4:J4"/>
    <mergeCell ref="A6:J6"/>
    <mergeCell ref="A7:J7"/>
    <mergeCell ref="A8:J8"/>
    <mergeCell ref="A14:J14"/>
    <mergeCell ref="A9:J9"/>
    <mergeCell ref="A2:J2"/>
    <mergeCell ref="A5:J5"/>
  </mergeCells>
  <phoneticPr fontId="0" type="noConversion"/>
  <pageMargins left="0.47244094488188981" right="0.47244094488188981" top="0.47244094488188981" bottom="0.47244094488188981" header="0.19685039370078741" footer="0.19685039370078741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U48"/>
  <sheetViews>
    <sheetView zoomScale="110" zoomScaleNormal="110" workbookViewId="0">
      <selection activeCell="A28" sqref="A28:J28"/>
    </sheetView>
  </sheetViews>
  <sheetFormatPr defaultColWidth="9.1796875" defaultRowHeight="14.5"/>
  <cols>
    <col min="1" max="1" width="3.453125" style="70" customWidth="1"/>
    <col min="2" max="2" width="17" style="70" customWidth="1"/>
    <col min="3" max="3" width="6.26953125" style="70" customWidth="1"/>
    <col min="4" max="5" width="9.26953125" style="70" customWidth="1"/>
    <col min="6" max="6" width="5.54296875" style="70" customWidth="1"/>
    <col min="7" max="7" width="9.26953125" style="70" customWidth="1"/>
    <col min="8" max="8" width="7.54296875" style="70" customWidth="1"/>
    <col min="9" max="9" width="7.26953125" style="70" customWidth="1"/>
    <col min="10" max="10" width="13.7265625" style="70" customWidth="1"/>
    <col min="11" max="11" width="9.1796875" style="70"/>
    <col min="12" max="12" width="13.26953125" style="70" bestFit="1" customWidth="1"/>
    <col min="13" max="13" width="12.1796875" style="70" bestFit="1" customWidth="1"/>
    <col min="14" max="14" width="9.1796875" style="70"/>
    <col min="15" max="15" width="12.1796875" style="70" bestFit="1" customWidth="1"/>
    <col min="16" max="16" width="9.1796875" style="70"/>
    <col min="17" max="17" width="12.1796875" style="70" bestFit="1" customWidth="1"/>
    <col min="18" max="18" width="9.1796875" style="70"/>
    <col min="19" max="19" width="13.26953125" style="70" bestFit="1" customWidth="1"/>
    <col min="20" max="20" width="9.1796875" style="70"/>
    <col min="21" max="21" width="12.1796875" style="70" bestFit="1" customWidth="1"/>
    <col min="22" max="16384" width="9.1796875" style="70"/>
  </cols>
  <sheetData>
    <row r="1" spans="1:14" ht="16.5" customHeight="1">
      <c r="A1" s="272" t="s">
        <v>134</v>
      </c>
      <c r="B1" s="270"/>
      <c r="C1" s="270"/>
      <c r="D1" s="270"/>
      <c r="E1" s="270"/>
      <c r="F1" s="270"/>
      <c r="G1" s="270"/>
      <c r="H1" s="270"/>
      <c r="I1" s="270"/>
      <c r="J1" s="270"/>
    </row>
    <row r="2" spans="1:14" ht="15.5">
      <c r="A2" s="273" t="s">
        <v>502</v>
      </c>
      <c r="B2" s="273"/>
      <c r="C2" s="273"/>
      <c r="D2" s="273"/>
      <c r="E2" s="273"/>
      <c r="F2" s="273"/>
      <c r="G2" s="273"/>
      <c r="H2" s="273"/>
      <c r="I2" s="273"/>
      <c r="J2" s="273"/>
    </row>
    <row r="3" spans="1:14" ht="12.75" customHeight="1">
      <c r="A3" s="273" t="s">
        <v>503</v>
      </c>
      <c r="B3" s="273"/>
      <c r="C3" s="273"/>
      <c r="D3" s="273"/>
      <c r="E3" s="273"/>
      <c r="F3" s="273"/>
      <c r="G3" s="273"/>
      <c r="H3" s="273"/>
      <c r="I3" s="273"/>
      <c r="J3" s="273"/>
    </row>
    <row r="4" spans="1:14" ht="30" customHeight="1">
      <c r="A4" s="270" t="s">
        <v>752</v>
      </c>
      <c r="B4" s="270"/>
      <c r="C4" s="270"/>
      <c r="D4" s="270"/>
      <c r="E4" s="270"/>
      <c r="F4" s="270"/>
      <c r="G4" s="270"/>
      <c r="H4" s="270"/>
      <c r="I4" s="270"/>
      <c r="J4" s="270"/>
    </row>
    <row r="5" spans="1:14" ht="9" customHeight="1">
      <c r="A5" s="125"/>
      <c r="B5" s="125"/>
      <c r="C5" s="125"/>
      <c r="D5" s="125"/>
      <c r="E5" s="125"/>
      <c r="F5" s="125"/>
      <c r="G5" s="125"/>
      <c r="H5" s="125"/>
      <c r="I5" s="125"/>
      <c r="J5" s="125"/>
    </row>
    <row r="6" spans="1:14" ht="62">
      <c r="A6" s="123" t="s">
        <v>485</v>
      </c>
      <c r="B6" s="268" t="s">
        <v>497</v>
      </c>
      <c r="C6" s="268"/>
      <c r="D6" s="268" t="s">
        <v>498</v>
      </c>
      <c r="E6" s="268"/>
      <c r="F6" s="268"/>
      <c r="G6" s="123" t="s">
        <v>499</v>
      </c>
      <c r="H6" s="123" t="s">
        <v>754</v>
      </c>
      <c r="I6" s="268" t="s">
        <v>501</v>
      </c>
      <c r="J6" s="268"/>
    </row>
    <row r="7" spans="1:14" ht="15.75" customHeight="1">
      <c r="A7" s="123">
        <v>1</v>
      </c>
      <c r="B7" s="268">
        <v>2</v>
      </c>
      <c r="C7" s="268"/>
      <c r="D7" s="268">
        <v>3</v>
      </c>
      <c r="E7" s="268"/>
      <c r="F7" s="268"/>
      <c r="G7" s="123">
        <v>4</v>
      </c>
      <c r="H7" s="123">
        <v>5</v>
      </c>
      <c r="I7" s="268">
        <v>6</v>
      </c>
      <c r="J7" s="268"/>
    </row>
    <row r="8" spans="1:14" ht="42" customHeight="1">
      <c r="A8" s="123">
        <v>2</v>
      </c>
      <c r="B8" s="269" t="s">
        <v>757</v>
      </c>
      <c r="C8" s="269"/>
      <c r="D8" s="267">
        <v>1225</v>
      </c>
      <c r="E8" s="267"/>
      <c r="F8" s="267"/>
      <c r="G8" s="123">
        <v>2</v>
      </c>
      <c r="H8" s="123">
        <v>6</v>
      </c>
      <c r="I8" s="267">
        <f t="shared" ref="I8:I21" si="0">D8*G8*H8</f>
        <v>14700</v>
      </c>
      <c r="J8" s="267"/>
    </row>
    <row r="9" spans="1:14" ht="61.5" customHeight="1">
      <c r="A9" s="123">
        <v>3</v>
      </c>
      <c r="B9" s="264" t="s">
        <v>755</v>
      </c>
      <c r="C9" s="265"/>
      <c r="D9" s="267">
        <f>2000*2</f>
        <v>4000</v>
      </c>
      <c r="E9" s="267"/>
      <c r="F9" s="267"/>
      <c r="G9" s="123">
        <v>1</v>
      </c>
      <c r="H9" s="99">
        <v>1</v>
      </c>
      <c r="I9" s="267">
        <f t="shared" si="0"/>
        <v>4000</v>
      </c>
      <c r="J9" s="267"/>
      <c r="K9" s="94">
        <f>SUM(I8:J10)</f>
        <v>20700</v>
      </c>
      <c r="N9" s="70" t="s">
        <v>66</v>
      </c>
    </row>
    <row r="10" spans="1:14" ht="58.5" customHeight="1">
      <c r="A10" s="123">
        <v>4</v>
      </c>
      <c r="B10" s="269" t="s">
        <v>758</v>
      </c>
      <c r="C10" s="269"/>
      <c r="D10" s="267">
        <v>500</v>
      </c>
      <c r="E10" s="267"/>
      <c r="F10" s="267"/>
      <c r="G10" s="123">
        <v>1</v>
      </c>
      <c r="H10" s="123">
        <v>4</v>
      </c>
      <c r="I10" s="267">
        <f t="shared" si="0"/>
        <v>2000</v>
      </c>
      <c r="J10" s="267"/>
    </row>
    <row r="11" spans="1:14" ht="47.25" customHeight="1">
      <c r="A11" s="123">
        <v>6</v>
      </c>
      <c r="B11" s="269" t="s">
        <v>759</v>
      </c>
      <c r="C11" s="269"/>
      <c r="D11" s="267">
        <v>800</v>
      </c>
      <c r="E11" s="267"/>
      <c r="F11" s="267"/>
      <c r="G11" s="123">
        <v>2</v>
      </c>
      <c r="H11" s="123">
        <v>3</v>
      </c>
      <c r="I11" s="267">
        <f t="shared" si="0"/>
        <v>4800</v>
      </c>
      <c r="J11" s="267"/>
      <c r="K11" s="94">
        <f>SUM(I11:J12)</f>
        <v>8000</v>
      </c>
    </row>
    <row r="12" spans="1:14" ht="46.5" customHeight="1">
      <c r="A12" s="123">
        <v>8</v>
      </c>
      <c r="B12" s="269" t="s">
        <v>760</v>
      </c>
      <c r="C12" s="269"/>
      <c r="D12" s="267">
        <v>800</v>
      </c>
      <c r="E12" s="267"/>
      <c r="F12" s="267"/>
      <c r="G12" s="123">
        <v>1</v>
      </c>
      <c r="H12" s="123">
        <v>4</v>
      </c>
      <c r="I12" s="267">
        <f t="shared" si="0"/>
        <v>3200</v>
      </c>
      <c r="J12" s="267"/>
    </row>
    <row r="13" spans="1:14" ht="49.5" customHeight="1">
      <c r="A13" s="123">
        <v>10</v>
      </c>
      <c r="B13" s="269" t="s">
        <v>761</v>
      </c>
      <c r="C13" s="269"/>
      <c r="D13" s="267">
        <v>800</v>
      </c>
      <c r="E13" s="267"/>
      <c r="F13" s="267"/>
      <c r="G13" s="123">
        <v>1</v>
      </c>
      <c r="H13" s="123">
        <f>3+4+4</f>
        <v>11</v>
      </c>
      <c r="I13" s="267">
        <f t="shared" si="0"/>
        <v>8800</v>
      </c>
      <c r="J13" s="267"/>
      <c r="K13" s="94">
        <f>SUM(I13:J14)</f>
        <v>16300</v>
      </c>
    </row>
    <row r="14" spans="1:14" ht="47.25" customHeight="1">
      <c r="A14" s="123">
        <v>12</v>
      </c>
      <c r="B14" s="269" t="s">
        <v>762</v>
      </c>
      <c r="C14" s="269"/>
      <c r="D14" s="267">
        <v>1500</v>
      </c>
      <c r="E14" s="267"/>
      <c r="F14" s="267"/>
      <c r="G14" s="123">
        <v>1</v>
      </c>
      <c r="H14" s="123">
        <v>5</v>
      </c>
      <c r="I14" s="267">
        <f t="shared" si="0"/>
        <v>7500</v>
      </c>
      <c r="J14" s="267"/>
    </row>
    <row r="15" spans="1:14" ht="47.25" customHeight="1">
      <c r="A15" s="123">
        <v>14</v>
      </c>
      <c r="B15" s="271" t="s">
        <v>763</v>
      </c>
      <c r="C15" s="271"/>
      <c r="D15" s="267">
        <v>1500</v>
      </c>
      <c r="E15" s="267"/>
      <c r="F15" s="267"/>
      <c r="G15" s="123">
        <v>1</v>
      </c>
      <c r="H15" s="123">
        <v>3</v>
      </c>
      <c r="I15" s="267">
        <f t="shared" si="0"/>
        <v>4500</v>
      </c>
      <c r="J15" s="267"/>
    </row>
    <row r="16" spans="1:14" ht="45" customHeight="1">
      <c r="A16" s="123">
        <v>16</v>
      </c>
      <c r="B16" s="271" t="s">
        <v>764</v>
      </c>
      <c r="C16" s="271"/>
      <c r="D16" s="267">
        <v>1500</v>
      </c>
      <c r="E16" s="267"/>
      <c r="F16" s="267"/>
      <c r="G16" s="123">
        <v>1</v>
      </c>
      <c r="H16" s="123">
        <v>5</v>
      </c>
      <c r="I16" s="267">
        <f t="shared" si="0"/>
        <v>7500</v>
      </c>
      <c r="J16" s="267"/>
    </row>
    <row r="17" spans="1:21" ht="44.25" customHeight="1">
      <c r="A17" s="123">
        <v>18</v>
      </c>
      <c r="B17" s="269" t="s">
        <v>765</v>
      </c>
      <c r="C17" s="269"/>
      <c r="D17" s="267">
        <v>1500</v>
      </c>
      <c r="E17" s="267"/>
      <c r="F17" s="267"/>
      <c r="G17" s="123">
        <v>1</v>
      </c>
      <c r="H17" s="123">
        <v>3</v>
      </c>
      <c r="I17" s="267">
        <f t="shared" si="0"/>
        <v>4500</v>
      </c>
      <c r="J17" s="267"/>
    </row>
    <row r="18" spans="1:21" ht="43.5" customHeight="1">
      <c r="A18" s="123">
        <v>20</v>
      </c>
      <c r="B18" s="269" t="s">
        <v>766</v>
      </c>
      <c r="C18" s="269"/>
      <c r="D18" s="267">
        <v>1500</v>
      </c>
      <c r="E18" s="267"/>
      <c r="F18" s="267"/>
      <c r="G18" s="123">
        <v>2</v>
      </c>
      <c r="H18" s="123">
        <v>5</v>
      </c>
      <c r="I18" s="267">
        <f t="shared" si="0"/>
        <v>15000</v>
      </c>
      <c r="J18" s="267"/>
    </row>
    <row r="19" spans="1:21" ht="72" customHeight="1">
      <c r="A19" s="123">
        <v>22</v>
      </c>
      <c r="B19" s="269" t="s">
        <v>767</v>
      </c>
      <c r="C19" s="269"/>
      <c r="D19" s="267">
        <f>700+100</f>
        <v>800</v>
      </c>
      <c r="E19" s="267"/>
      <c r="F19" s="267"/>
      <c r="G19" s="100">
        <v>2</v>
      </c>
      <c r="H19" s="100">
        <v>5</v>
      </c>
      <c r="I19" s="267">
        <f t="shared" si="0"/>
        <v>8000</v>
      </c>
      <c r="J19" s="267"/>
    </row>
    <row r="20" spans="1:21" ht="61.5" customHeight="1">
      <c r="A20" s="123">
        <v>23</v>
      </c>
      <c r="B20" s="269" t="s">
        <v>768</v>
      </c>
      <c r="C20" s="269"/>
      <c r="D20" s="267">
        <f>(2150+200)*2</f>
        <v>4700</v>
      </c>
      <c r="E20" s="267"/>
      <c r="F20" s="267"/>
      <c r="G20" s="100">
        <v>2</v>
      </c>
      <c r="H20" s="101">
        <v>1</v>
      </c>
      <c r="I20" s="267">
        <f t="shared" si="0"/>
        <v>9400</v>
      </c>
      <c r="J20" s="267"/>
    </row>
    <row r="21" spans="1:21" ht="60" customHeight="1">
      <c r="A21" s="123">
        <v>24</v>
      </c>
      <c r="B21" s="269" t="s">
        <v>769</v>
      </c>
      <c r="C21" s="269"/>
      <c r="D21" s="267">
        <v>1500</v>
      </c>
      <c r="E21" s="267"/>
      <c r="F21" s="267"/>
      <c r="G21" s="100">
        <v>2</v>
      </c>
      <c r="H21" s="100">
        <v>4</v>
      </c>
      <c r="I21" s="267">
        <f t="shared" si="0"/>
        <v>12000</v>
      </c>
      <c r="J21" s="267"/>
    </row>
    <row r="22" spans="1:21" ht="47.25" customHeight="1">
      <c r="A22" s="123">
        <v>26</v>
      </c>
      <c r="B22" s="269" t="s">
        <v>770</v>
      </c>
      <c r="C22" s="269"/>
      <c r="D22" s="267">
        <v>1500</v>
      </c>
      <c r="E22" s="267"/>
      <c r="F22" s="267"/>
      <c r="G22" s="100">
        <v>1</v>
      </c>
      <c r="H22" s="100">
        <v>5</v>
      </c>
      <c r="I22" s="267">
        <f>D22*G22*H22</f>
        <v>7500</v>
      </c>
      <c r="J22" s="267"/>
      <c r="O22" s="90"/>
    </row>
    <row r="23" spans="1:21" ht="42.75" customHeight="1">
      <c r="A23" s="123">
        <v>27</v>
      </c>
      <c r="B23" s="269" t="s">
        <v>771</v>
      </c>
      <c r="C23" s="269"/>
      <c r="D23" s="267">
        <f>(3800+150)*2</f>
        <v>7900</v>
      </c>
      <c r="E23" s="267"/>
      <c r="F23" s="267"/>
      <c r="G23" s="100">
        <v>1</v>
      </c>
      <c r="H23" s="101">
        <v>1</v>
      </c>
      <c r="I23" s="267">
        <f>D23*G23*H23</f>
        <v>7900</v>
      </c>
      <c r="J23" s="267"/>
      <c r="O23" s="90"/>
    </row>
    <row r="24" spans="1:21" ht="47.25" customHeight="1">
      <c r="A24" s="123">
        <v>28</v>
      </c>
      <c r="B24" s="269" t="s">
        <v>772</v>
      </c>
      <c r="C24" s="269"/>
      <c r="D24" s="267">
        <v>1500</v>
      </c>
      <c r="E24" s="267"/>
      <c r="F24" s="267"/>
      <c r="G24" s="100">
        <v>1</v>
      </c>
      <c r="H24" s="100">
        <v>8</v>
      </c>
      <c r="I24" s="267">
        <f>D24*G24*H24+50</f>
        <v>12050</v>
      </c>
      <c r="J24" s="267"/>
      <c r="L24" s="124">
        <f ca="1">'р.3 2017'!Q63</f>
        <v>133350</v>
      </c>
      <c r="M24" s="90">
        <f>I25-L24</f>
        <v>0</v>
      </c>
      <c r="O24" s="90"/>
      <c r="Q24" s="90"/>
      <c r="S24" s="90"/>
      <c r="U24" s="90"/>
    </row>
    <row r="25" spans="1:21" ht="15.5">
      <c r="A25" s="123"/>
      <c r="B25" s="268" t="s">
        <v>493</v>
      </c>
      <c r="C25" s="268"/>
      <c r="D25" s="268" t="s">
        <v>494</v>
      </c>
      <c r="E25" s="268"/>
      <c r="F25" s="268"/>
      <c r="G25" s="123" t="s">
        <v>494</v>
      </c>
      <c r="H25" s="123" t="s">
        <v>494</v>
      </c>
      <c r="I25" s="267">
        <f>SUM(I8:J24)</f>
        <v>133350</v>
      </c>
      <c r="J25" s="266"/>
    </row>
    <row r="27" spans="1:21" ht="33.75" customHeight="1"/>
    <row r="28" spans="1:21" ht="30" customHeight="1">
      <c r="A28" s="270" t="s">
        <v>774</v>
      </c>
      <c r="B28" s="270"/>
      <c r="C28" s="270"/>
      <c r="D28" s="270"/>
      <c r="E28" s="270"/>
      <c r="F28" s="270"/>
      <c r="G28" s="270"/>
      <c r="H28" s="270"/>
      <c r="I28" s="270"/>
      <c r="J28" s="270"/>
    </row>
    <row r="29" spans="1:21" ht="15.5">
      <c r="A29" s="125"/>
      <c r="B29" s="125"/>
      <c r="C29" s="125"/>
      <c r="D29" s="125"/>
      <c r="E29" s="125"/>
      <c r="F29" s="125"/>
      <c r="G29" s="125"/>
      <c r="H29" s="125"/>
      <c r="I29" s="125"/>
      <c r="J29" s="125"/>
    </row>
    <row r="30" spans="1:21" ht="62">
      <c r="A30" s="123" t="s">
        <v>485</v>
      </c>
      <c r="B30" s="268" t="s">
        <v>497</v>
      </c>
      <c r="C30" s="268"/>
      <c r="D30" s="268" t="s">
        <v>498</v>
      </c>
      <c r="E30" s="268"/>
      <c r="F30" s="268"/>
      <c r="G30" s="123" t="s">
        <v>499</v>
      </c>
      <c r="H30" s="123" t="s">
        <v>500</v>
      </c>
      <c r="I30" s="268" t="s">
        <v>501</v>
      </c>
      <c r="J30" s="268"/>
    </row>
    <row r="31" spans="1:21" ht="47.25" customHeight="1">
      <c r="A31" s="123">
        <v>1</v>
      </c>
      <c r="B31" s="268">
        <v>2</v>
      </c>
      <c r="C31" s="268"/>
      <c r="D31" s="268">
        <v>3</v>
      </c>
      <c r="E31" s="268"/>
      <c r="F31" s="268"/>
      <c r="G31" s="123">
        <v>4</v>
      </c>
      <c r="H31" s="123">
        <v>5</v>
      </c>
      <c r="I31" s="268">
        <v>6</v>
      </c>
      <c r="J31" s="268"/>
    </row>
    <row r="32" spans="1:21" ht="63" customHeight="1">
      <c r="A32" s="123">
        <v>1</v>
      </c>
      <c r="B32" s="264" t="s">
        <v>773</v>
      </c>
      <c r="C32" s="265"/>
      <c r="D32" s="266">
        <v>500</v>
      </c>
      <c r="E32" s="266"/>
      <c r="F32" s="266"/>
      <c r="G32" s="123">
        <v>2</v>
      </c>
      <c r="H32" s="123">
        <v>8</v>
      </c>
      <c r="I32" s="267">
        <f t="shared" ref="I32:I45" si="1">D32*G32*H32</f>
        <v>8000</v>
      </c>
      <c r="J32" s="267"/>
      <c r="K32" s="94">
        <f>SUM(I32:J33)</f>
        <v>11000</v>
      </c>
    </row>
    <row r="33" spans="1:12" ht="47.25" customHeight="1">
      <c r="A33" s="123">
        <v>2</v>
      </c>
      <c r="B33" s="264" t="s">
        <v>775</v>
      </c>
      <c r="C33" s="265"/>
      <c r="D33" s="266">
        <v>500</v>
      </c>
      <c r="E33" s="266"/>
      <c r="F33" s="266"/>
      <c r="G33" s="123">
        <v>1</v>
      </c>
      <c r="H33" s="123">
        <v>6</v>
      </c>
      <c r="I33" s="267">
        <f t="shared" si="1"/>
        <v>3000</v>
      </c>
      <c r="J33" s="267"/>
    </row>
    <row r="34" spans="1:12" ht="43.5" customHeight="1">
      <c r="A34" s="123">
        <v>3</v>
      </c>
      <c r="B34" s="264" t="s">
        <v>776</v>
      </c>
      <c r="C34" s="265"/>
      <c r="D34" s="266">
        <v>500</v>
      </c>
      <c r="E34" s="266"/>
      <c r="F34" s="266"/>
      <c r="G34" s="123">
        <v>2</v>
      </c>
      <c r="H34" s="123">
        <v>4</v>
      </c>
      <c r="I34" s="267">
        <f t="shared" si="1"/>
        <v>4000</v>
      </c>
      <c r="J34" s="267"/>
      <c r="K34" s="94">
        <f>SUM(I34:J35)</f>
        <v>7000</v>
      </c>
    </row>
    <row r="35" spans="1:12" ht="61.5" customHeight="1">
      <c r="A35" s="123">
        <v>4</v>
      </c>
      <c r="B35" s="264" t="s">
        <v>776</v>
      </c>
      <c r="C35" s="265"/>
      <c r="D35" s="266">
        <v>500</v>
      </c>
      <c r="E35" s="266"/>
      <c r="F35" s="266"/>
      <c r="G35" s="123">
        <v>1</v>
      </c>
      <c r="H35" s="123">
        <v>6</v>
      </c>
      <c r="I35" s="267">
        <f>D35*G35*H35</f>
        <v>3000</v>
      </c>
      <c r="J35" s="267"/>
    </row>
    <row r="36" spans="1:12" ht="63.75" customHeight="1">
      <c r="A36" s="123">
        <v>5</v>
      </c>
      <c r="B36" s="264" t="s">
        <v>777</v>
      </c>
      <c r="C36" s="265"/>
      <c r="D36" s="266">
        <v>500</v>
      </c>
      <c r="E36" s="266"/>
      <c r="F36" s="266"/>
      <c r="G36" s="123">
        <v>1</v>
      </c>
      <c r="H36" s="123">
        <f>6+6+5</f>
        <v>17</v>
      </c>
      <c r="I36" s="267">
        <f t="shared" si="1"/>
        <v>8500</v>
      </c>
      <c r="J36" s="267"/>
      <c r="K36" s="94">
        <f>SUM(I36:J37)</f>
        <v>12500</v>
      </c>
    </row>
    <row r="37" spans="1:12" ht="60.75" customHeight="1">
      <c r="A37" s="123">
        <v>6</v>
      </c>
      <c r="B37" s="264" t="s">
        <v>778</v>
      </c>
      <c r="C37" s="265"/>
      <c r="D37" s="266">
        <v>500</v>
      </c>
      <c r="E37" s="266"/>
      <c r="F37" s="266"/>
      <c r="G37" s="123">
        <v>1</v>
      </c>
      <c r="H37" s="123">
        <v>8</v>
      </c>
      <c r="I37" s="267">
        <f t="shared" si="1"/>
        <v>4000</v>
      </c>
      <c r="J37" s="267"/>
    </row>
    <row r="38" spans="1:12" ht="45" customHeight="1">
      <c r="A38" s="123">
        <v>7</v>
      </c>
      <c r="B38" s="264" t="s">
        <v>0</v>
      </c>
      <c r="C38" s="265"/>
      <c r="D38" s="266">
        <v>500</v>
      </c>
      <c r="E38" s="266"/>
      <c r="F38" s="266"/>
      <c r="G38" s="123">
        <v>1</v>
      </c>
      <c r="H38" s="123">
        <v>5</v>
      </c>
      <c r="I38" s="267">
        <f t="shared" si="1"/>
        <v>2500</v>
      </c>
      <c r="J38" s="267"/>
    </row>
    <row r="39" spans="1:12" ht="47.25" customHeight="1">
      <c r="A39" s="123">
        <v>8</v>
      </c>
      <c r="B39" s="264" t="s">
        <v>1</v>
      </c>
      <c r="C39" s="265"/>
      <c r="D39" s="266">
        <v>500</v>
      </c>
      <c r="E39" s="266"/>
      <c r="F39" s="266"/>
      <c r="G39" s="123">
        <v>1</v>
      </c>
      <c r="H39" s="123">
        <v>8</v>
      </c>
      <c r="I39" s="267">
        <f t="shared" si="1"/>
        <v>4000</v>
      </c>
      <c r="J39" s="267"/>
    </row>
    <row r="40" spans="1:12" ht="46.5" customHeight="1">
      <c r="A40" s="123">
        <v>9</v>
      </c>
      <c r="B40" s="264" t="s">
        <v>2</v>
      </c>
      <c r="C40" s="265"/>
      <c r="D40" s="266">
        <v>500</v>
      </c>
      <c r="E40" s="266"/>
      <c r="F40" s="266"/>
      <c r="G40" s="123">
        <v>2</v>
      </c>
      <c r="H40" s="123">
        <v>7</v>
      </c>
      <c r="I40" s="267">
        <f t="shared" si="1"/>
        <v>7000</v>
      </c>
      <c r="J40" s="267"/>
    </row>
    <row r="41" spans="1:12" ht="49.5" customHeight="1">
      <c r="A41" s="123">
        <v>10</v>
      </c>
      <c r="B41" s="264" t="s">
        <v>3</v>
      </c>
      <c r="C41" s="265"/>
      <c r="D41" s="266">
        <v>500</v>
      </c>
      <c r="E41" s="266"/>
      <c r="F41" s="266"/>
      <c r="G41" s="123">
        <v>2</v>
      </c>
      <c r="H41" s="123">
        <v>8</v>
      </c>
      <c r="I41" s="267">
        <f t="shared" si="1"/>
        <v>8000</v>
      </c>
      <c r="J41" s="267"/>
    </row>
    <row r="42" spans="1:12" ht="63.75" customHeight="1">
      <c r="A42" s="123">
        <v>11</v>
      </c>
      <c r="B42" s="264" t="s">
        <v>4</v>
      </c>
      <c r="C42" s="265"/>
      <c r="D42" s="266">
        <v>500</v>
      </c>
      <c r="E42" s="266"/>
      <c r="F42" s="266"/>
      <c r="G42" s="123">
        <v>2</v>
      </c>
      <c r="H42" s="123">
        <v>8</v>
      </c>
      <c r="I42" s="267">
        <f t="shared" si="1"/>
        <v>8000</v>
      </c>
      <c r="J42" s="267"/>
    </row>
    <row r="43" spans="1:12" ht="61.5" customHeight="1">
      <c r="A43" s="123">
        <v>12</v>
      </c>
      <c r="B43" s="264" t="s">
        <v>5</v>
      </c>
      <c r="C43" s="265"/>
      <c r="D43" s="266">
        <v>500</v>
      </c>
      <c r="E43" s="266"/>
      <c r="F43" s="266"/>
      <c r="G43" s="123">
        <v>2</v>
      </c>
      <c r="H43" s="123">
        <v>8</v>
      </c>
      <c r="I43" s="267">
        <f t="shared" si="1"/>
        <v>8000</v>
      </c>
      <c r="J43" s="267"/>
    </row>
    <row r="44" spans="1:12" ht="45.75" customHeight="1">
      <c r="A44" s="123">
        <v>13</v>
      </c>
      <c r="B44" s="264" t="s">
        <v>6</v>
      </c>
      <c r="C44" s="265"/>
      <c r="D44" s="266">
        <v>500</v>
      </c>
      <c r="E44" s="266"/>
      <c r="F44" s="266"/>
      <c r="G44" s="123">
        <v>2</v>
      </c>
      <c r="H44" s="123">
        <v>8</v>
      </c>
      <c r="I44" s="267">
        <f t="shared" si="1"/>
        <v>8000</v>
      </c>
      <c r="J44" s="267"/>
    </row>
    <row r="45" spans="1:12" ht="47.25" customHeight="1">
      <c r="A45" s="123">
        <v>14</v>
      </c>
      <c r="B45" s="264" t="s">
        <v>7</v>
      </c>
      <c r="C45" s="265"/>
      <c r="D45" s="266">
        <v>500</v>
      </c>
      <c r="E45" s="266"/>
      <c r="F45" s="266"/>
      <c r="G45" s="123">
        <v>2</v>
      </c>
      <c r="H45" s="123">
        <v>12</v>
      </c>
      <c r="I45" s="267">
        <f t="shared" si="1"/>
        <v>12000</v>
      </c>
      <c r="J45" s="267"/>
      <c r="K45" s="70">
        <f ca="1">'р.3 2017'!D65</f>
        <v>88000</v>
      </c>
      <c r="L45" s="94">
        <f>I46-K45</f>
        <v>0</v>
      </c>
    </row>
    <row r="46" spans="1:12" ht="15.5">
      <c r="A46" s="123">
        <v>19</v>
      </c>
      <c r="B46" s="268" t="s">
        <v>493</v>
      </c>
      <c r="C46" s="268"/>
      <c r="D46" s="268" t="s">
        <v>494</v>
      </c>
      <c r="E46" s="268"/>
      <c r="F46" s="268"/>
      <c r="G46" s="123" t="s">
        <v>494</v>
      </c>
      <c r="H46" s="123" t="s">
        <v>494</v>
      </c>
      <c r="I46" s="267">
        <f>SUM(I32:J45)</f>
        <v>88000</v>
      </c>
      <c r="J46" s="267"/>
    </row>
    <row r="48" spans="1:12">
      <c r="J48" s="94">
        <f>I46+I25</f>
        <v>221350</v>
      </c>
    </row>
  </sheetData>
  <mergeCells count="116">
    <mergeCell ref="A1:J1"/>
    <mergeCell ref="A2:J2"/>
    <mergeCell ref="A3:J3"/>
    <mergeCell ref="A4:J4"/>
    <mergeCell ref="B8:C8"/>
    <mergeCell ref="D8:F8"/>
    <mergeCell ref="I8:J8"/>
    <mergeCell ref="B6:C6"/>
    <mergeCell ref="D6:F6"/>
    <mergeCell ref="I6:J6"/>
    <mergeCell ref="B7:C7"/>
    <mergeCell ref="D7:F7"/>
    <mergeCell ref="I7:J7"/>
    <mergeCell ref="B11:C11"/>
    <mergeCell ref="D11:F11"/>
    <mergeCell ref="I11:J11"/>
    <mergeCell ref="B9:C9"/>
    <mergeCell ref="D9:F9"/>
    <mergeCell ref="I9:J9"/>
    <mergeCell ref="B10:C10"/>
    <mergeCell ref="D10:F10"/>
    <mergeCell ref="I10:J10"/>
    <mergeCell ref="B13:C13"/>
    <mergeCell ref="D13:F13"/>
    <mergeCell ref="I13:J13"/>
    <mergeCell ref="B12:C12"/>
    <mergeCell ref="D12:F12"/>
    <mergeCell ref="I12:J12"/>
    <mergeCell ref="B15:C15"/>
    <mergeCell ref="D15:F15"/>
    <mergeCell ref="I15:J15"/>
    <mergeCell ref="B14:C14"/>
    <mergeCell ref="D14:F14"/>
    <mergeCell ref="I14:J14"/>
    <mergeCell ref="B17:C17"/>
    <mergeCell ref="D17:F17"/>
    <mergeCell ref="I17:J17"/>
    <mergeCell ref="B16:C16"/>
    <mergeCell ref="D16:F16"/>
    <mergeCell ref="I16:J16"/>
    <mergeCell ref="B19:C19"/>
    <mergeCell ref="D19:F19"/>
    <mergeCell ref="I19:J19"/>
    <mergeCell ref="B18:C18"/>
    <mergeCell ref="D18:F18"/>
    <mergeCell ref="I18:J18"/>
    <mergeCell ref="B20:C20"/>
    <mergeCell ref="D20:F20"/>
    <mergeCell ref="I20:J20"/>
    <mergeCell ref="B21:C21"/>
    <mergeCell ref="D21:F21"/>
    <mergeCell ref="I21:J21"/>
    <mergeCell ref="D25:F25"/>
    <mergeCell ref="I25:J25"/>
    <mergeCell ref="A28:J28"/>
    <mergeCell ref="B22:C22"/>
    <mergeCell ref="D22:F22"/>
    <mergeCell ref="I22:J22"/>
    <mergeCell ref="B30:C30"/>
    <mergeCell ref="D30:F30"/>
    <mergeCell ref="I30:J30"/>
    <mergeCell ref="B23:C23"/>
    <mergeCell ref="D23:F23"/>
    <mergeCell ref="I23:J23"/>
    <mergeCell ref="B24:C24"/>
    <mergeCell ref="D24:F24"/>
    <mergeCell ref="I24:J24"/>
    <mergeCell ref="B25:C25"/>
    <mergeCell ref="B33:C33"/>
    <mergeCell ref="D33:F33"/>
    <mergeCell ref="I33:J33"/>
    <mergeCell ref="B34:C34"/>
    <mergeCell ref="D34:F34"/>
    <mergeCell ref="I34:J34"/>
    <mergeCell ref="B31:C31"/>
    <mergeCell ref="D31:F31"/>
    <mergeCell ref="I31:J31"/>
    <mergeCell ref="B32:C32"/>
    <mergeCell ref="D32:F32"/>
    <mergeCell ref="I32:J32"/>
    <mergeCell ref="B37:C37"/>
    <mergeCell ref="D37:F37"/>
    <mergeCell ref="I37:J37"/>
    <mergeCell ref="B38:C38"/>
    <mergeCell ref="D38:F38"/>
    <mergeCell ref="I38:J38"/>
    <mergeCell ref="B35:C35"/>
    <mergeCell ref="D35:F35"/>
    <mergeCell ref="I35:J35"/>
    <mergeCell ref="B36:C36"/>
    <mergeCell ref="D36:F36"/>
    <mergeCell ref="I36:J36"/>
    <mergeCell ref="B41:C41"/>
    <mergeCell ref="D41:F41"/>
    <mergeCell ref="I41:J41"/>
    <mergeCell ref="B42:C42"/>
    <mergeCell ref="D42:F42"/>
    <mergeCell ref="I42:J42"/>
    <mergeCell ref="B39:C39"/>
    <mergeCell ref="D39:F39"/>
    <mergeCell ref="I39:J39"/>
    <mergeCell ref="B40:C40"/>
    <mergeCell ref="D40:F40"/>
    <mergeCell ref="I40:J40"/>
    <mergeCell ref="B46:C46"/>
    <mergeCell ref="D46:F46"/>
    <mergeCell ref="I46:J46"/>
    <mergeCell ref="B45:C45"/>
    <mergeCell ref="D45:F45"/>
    <mergeCell ref="I45:J45"/>
    <mergeCell ref="B43:C43"/>
    <mergeCell ref="D43:F43"/>
    <mergeCell ref="I43:J43"/>
    <mergeCell ref="B44:C44"/>
    <mergeCell ref="D44:F44"/>
    <mergeCell ref="I44:J44"/>
  </mergeCells>
  <phoneticPr fontId="0" type="noConversion"/>
  <pageMargins left="1.1417322834645669" right="0.47244094488188981" top="7.874015748031496E-2" bottom="0.47244094488188981" header="0.19685039370078741" footer="0.19685039370078741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23</vt:i4>
      </vt:variant>
    </vt:vector>
  </HeadingPairs>
  <TitlesOfParts>
    <vt:vector size="44" baseType="lpstr">
      <vt:lpstr>титул</vt:lpstr>
      <vt:lpstr>1, 2 раздел</vt:lpstr>
      <vt:lpstr>р.3 2017</vt:lpstr>
      <vt:lpstr>р.3 2018</vt:lpstr>
      <vt:lpstr>р.3 2019</vt:lpstr>
      <vt:lpstr>р.3.1</vt:lpstr>
      <vt:lpstr>р. 4, 5</vt:lpstr>
      <vt:lpstr>расч. 211(2000,2002)2017</vt:lpstr>
      <vt:lpstr>рас.212-1104,212-1152(2108)2017</vt:lpstr>
      <vt:lpstr>1.3,1.4 ст.213(2000,2002)2017</vt:lpstr>
      <vt:lpstr>1.5.  212-1101(2101)2017</vt:lpstr>
      <vt:lpstr>1.6.расч.290-1150(2108)2017</vt:lpstr>
      <vt:lpstr>290,221,222,223,225,226(2017)</vt:lpstr>
      <vt:lpstr>расч. 211(2000,2002)18-19</vt:lpstr>
      <vt:lpstr>ст.212-1104,212-1152(2108)18,19</vt:lpstr>
      <vt:lpstr>1.3,1.4 ст.213(2000)18,19</vt:lpstr>
      <vt:lpstr>1.6.расч.290-1150(2108)18,19</vt:lpstr>
      <vt:lpstr>290,221,222,223,225,226(18,19)</vt:lpstr>
      <vt:lpstr>(внебюджет остатки)</vt:lpstr>
      <vt:lpstr>наим ДопКР</vt:lpstr>
      <vt:lpstr>Лист1</vt:lpstr>
      <vt:lpstr>'(внебюджет остатки)'!Заголовки_для_печати</vt:lpstr>
      <vt:lpstr>'1.6.расч.290-1150(2108)18,19'!Заголовки_для_печати</vt:lpstr>
      <vt:lpstr>'1.6.расч.290-1150(2108)2017'!Заголовки_для_печати</vt:lpstr>
      <vt:lpstr>'р.3 2017'!Заголовки_для_печати</vt:lpstr>
      <vt:lpstr>'р.3 2018'!Заголовки_для_печати</vt:lpstr>
      <vt:lpstr>'р.3 2019'!Заголовки_для_печати</vt:lpstr>
      <vt:lpstr>'(внебюджет остатки)'!Область_печати</vt:lpstr>
      <vt:lpstr>'1.3,1.4 ст.213(2000)18,19'!Область_печати</vt:lpstr>
      <vt:lpstr>'1.3,1.4 ст.213(2000,2002)2017'!Область_печати</vt:lpstr>
      <vt:lpstr>'1.5.  212-1101(2101)2017'!Область_печати</vt:lpstr>
      <vt:lpstr>'1.6.расч.290-1150(2108)18,19'!Область_печати</vt:lpstr>
      <vt:lpstr>'1.6.расч.290-1150(2108)2017'!Область_печати</vt:lpstr>
      <vt:lpstr>'290,221,222,223,225,226(18,19)'!Область_печати</vt:lpstr>
      <vt:lpstr>'290,221,222,223,225,226(2017)'!Область_печати</vt:lpstr>
      <vt:lpstr>'р. 4, 5'!Область_печати</vt:lpstr>
      <vt:lpstr>'р.3 2017'!Область_печати</vt:lpstr>
      <vt:lpstr>'р.3 2018'!Область_печати</vt:lpstr>
      <vt:lpstr>'р.3 2019'!Область_печати</vt:lpstr>
      <vt:lpstr>р.3.1!Область_печати</vt:lpstr>
      <vt:lpstr>'рас.212-1104,212-1152(2108)2017'!Область_печати</vt:lpstr>
      <vt:lpstr>'расч. 211(2000,2002)18-19'!Область_печати</vt:lpstr>
      <vt:lpstr>'расч. 211(2000,2002)2017'!Область_печати</vt:lpstr>
      <vt:lpstr>'ст.212-1104,212-1152(2108)18,19'!Область_печати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Deminov Sergey</dc:creator>
  <cp:lastModifiedBy>user</cp:lastModifiedBy>
  <cp:lastPrinted>2017-11-22T03:38:45Z</cp:lastPrinted>
  <dcterms:created xsi:type="dcterms:W3CDTF">2016-12-19T01:59:27Z</dcterms:created>
  <dcterms:modified xsi:type="dcterms:W3CDTF">2017-12-14T03:40:38Z</dcterms:modified>
</cp:coreProperties>
</file>